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88" i="1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2"/>
  <c r="U662"/>
  <c r="V661"/>
  <c r="U661"/>
  <c r="U660"/>
  <c r="V659"/>
  <c r="U659"/>
  <c r="V658"/>
  <c r="U658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V486"/>
  <c r="U486"/>
  <c r="V485"/>
  <c r="U485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7"/>
  <c r="U467"/>
  <c r="V466"/>
  <c r="U466"/>
  <c r="V465"/>
  <c r="U465"/>
  <c r="V464"/>
  <c r="U464"/>
  <c r="V463"/>
  <c r="U463"/>
  <c r="U462"/>
  <c r="V461"/>
  <c r="U461"/>
  <c r="V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<sst xmlns="http://schemas.openxmlformats.org/spreadsheetml/2006/main" count="10761" uniqueCount="4306">
  <si>
    <t>ИНФРА-М Научно-издательский Центр</t>
  </si>
  <si>
    <t>12. Финансы и бухучет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</si>
  <si>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</si>
  <si>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</si>
  <si>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</si>
  <si>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</si>
  <si>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</si>
  <si>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</si>
  <si>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</si>
  <si>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</si>
  <si>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</si>
  <si>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</si>
  <si>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</si>
  <si>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</si>
  <si>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</si>
  <si>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</si>
  <si>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</si>
  <si>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</si>
  <si>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</si>
  <si>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</si>
  <si>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</si>
  <si>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</si>
  <si>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</si>
  <si>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</si>
  <si>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</si>
  <si>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</si>
  <si>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</si>
  <si>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</si>
  <si>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</si>
  <si>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</si>
  <si>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</si>
  <si>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</si>
  <si>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</si>
  <si>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</si>
  <si>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</si>
  <si>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</si>
  <si>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</si>
  <si>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</si>
  <si>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</si>
  <si>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</si>
  <si>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</si>
  <si>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</si>
  <si>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</si>
  <si>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</si>
  <si>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</si>
  <si>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</si>
  <si>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</si>
  <si>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</si>
  <si>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</si>
  <si>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</si>
  <si>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</si>
  <si>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</si>
  <si>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</si>
  <si>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</si>
  <si>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</si>
  <si>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</si>
  <si>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</si>
  <si>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</si>
  <si>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</si>
  <si>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</si>
  <si>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</si>
  <si>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</si>
  <si>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</si>
  <si>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</si>
  <si>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</si>
  <si>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</si>
  <si>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</si>
  <si>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</si>
  <si>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</si>
  <si>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</si>
  <si>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</si>
  <si>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</si>
  <si>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</si>
  <si>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</si>
  <si>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</si>
  <si>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</si>
  <si>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</si>
  <si>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</si>
  <si>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</si>
  <si>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</si>
  <si>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</si>
  <si>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</si>
  <si>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</si>
  <si>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</si>
  <si>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</si>
  <si>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</si>
  <si>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</si>
  <si>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</si>
  <si>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</si>
  <si>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</si>
  <si>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</si>
  <si>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</si>
  <si>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</si>
  <si>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</si>
  <si>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</si>
  <si>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</si>
  <si>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</si>
  <si>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</si>
  <si>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</si>
  <si>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</si>
  <si>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</si>
  <si>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</si>
  <si>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</si>
  <si>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</si>
  <si>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</si>
  <si>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</si>
  <si>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</si>
  <si>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</si>
  <si>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</si>
  <si>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</si>
  <si>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</si>
  <si>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</si>
  <si>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</si>
  <si>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</si>
  <si>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</si>
  <si>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</si>
  <si>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</si>
  <si>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</si>
  <si>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</si>
  <si>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</si>
  <si>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</si>
  <si>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</si>
  <si>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</si>
  <si>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</si>
  <si>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</si>
  <si>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</si>
  <si>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</si>
  <si>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</si>
  <si>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</si>
  <si>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</si>
  <si>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</si>
  <si>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</si>
  <si>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</si>
  <si>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</si>
  <si>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</si>
  <si>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</si>
  <si>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</si>
  <si>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</si>
  <si>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</si>
  <si>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</si>
  <si>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</si>
  <si>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</si>
  <si>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</si>
  <si>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</si>
  <si>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</si>
  <si>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</si>
  <si>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</si>
  <si>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</si>
  <si>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</si>
  <si>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</si>
  <si>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</si>
  <si>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</si>
  <si>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</si>
  <si>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</si>
  <si>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</si>
  <si>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</si>
  <si>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</si>
  <si>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</si>
  <si>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</si>
  <si>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</si>
  <si>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</si>
  <si>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</si>
  <si>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</si>
  <si>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</si>
  <si>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</si>
  <si>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</si>
  <si>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</si>
  <si>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</si>
  <si>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</si>
  <si>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</si>
  <si>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</si>
  <si>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</si>
  <si>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</si>
  <si>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</si>
  <si>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</si>
  <si>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</si>
  <si>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</si>
  <si>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</si>
  <si>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</si>
  <si>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</si>
  <si>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</si>
  <si>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</si>
  <si>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</si>
  <si>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</si>
  <si>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</si>
  <si>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</si>
  <si>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</si>
  <si>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</si>
  <si>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</si>
  <si>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</si>
  <si>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</si>
  <si>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</si>
  <si>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</si>
  <si>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</si>
  <si>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</si>
  <si>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</si>
  <si>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</si>
  <si>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</si>
  <si>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</si>
  <si>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</si>
  <si>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</si>
  <si>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</si>
  <si>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</si>
  <si>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</si>
  <si>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</si>
  <si>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</si>
  <si>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</si>
  <si>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</si>
  <si>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</si>
  <si>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</si>
  <si>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</si>
  <si>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</si>
  <si>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</si>
  <si>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</si>
  <si>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</si>
  <si>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</si>
  <si>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</si>
  <si>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</si>
  <si>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</si>
  <si>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</si>
  <si>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</si>
  <si>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</si>
  <si>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</si>
  <si>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</si>
  <si>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</si>
  <si>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</si>
  <si>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</si>
  <si>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</si>
  <si>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</si>
  <si>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</si>
  <si>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</si>
  <si>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</si>
  <si>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</si>
  <si>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</si>
  <si>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</si>
  <si>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</si>
  <si>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</si>
  <si>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</si>
  <si>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</si>
  <si>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</si>
  <si>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</si>
  <si>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</si>
  <si>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</si>
  <si>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</si>
  <si>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</si>
  <si>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</si>
  <si>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</si>
  <si>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</si>
  <si>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</si>
  <si>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</si>
  <si>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</si>
  <si>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</si>
  <si>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</si>
  <si>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</si>
  <si>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</si>
  <si>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</si>
  <si>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</si>
  <si>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</si>
  <si>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</si>
  <si>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</si>
  <si>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</si>
  <si>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</si>
  <si>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</si>
  <si>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</si>
  <si>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</si>
  <si>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</si>
  <si>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</si>
  <si>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</si>
  <si>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</si>
  <si>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</si>
  <si>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</si>
  <si>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</si>
  <si>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</si>
  <si>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</si>
  <si>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</si>
  <si>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</si>
  <si>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</si>
  <si>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</si>
  <si>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</si>
  <si>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</si>
  <si>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</si>
  <si>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</si>
  <si>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</si>
  <si>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</si>
  <si>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</si>
  <si>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</si>
  <si>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</si>
  <si>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</si>
  <si>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</si>
  <si>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</si>
  <si>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</si>
  <si>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</si>
  <si>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</si>
  <si>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</si>
  <si>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</si>
  <si>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</si>
  <si>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</si>
  <si>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</si>
  <si>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</si>
  <si>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</si>
  <si>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</si>
  <si>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</si>
  <si>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</si>
  <si>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</si>
  <si>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</si>
  <si>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</si>
  <si>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</si>
  <si>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</si>
  <si>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</si>
  <si>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</si>
  <si>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</si>
  <si>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</si>
  <si>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</si>
  <si>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</si>
  <si>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</si>
  <si>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</si>
  <si>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</si>
  <si>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</si>
  <si>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</si>
  <si>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</si>
  <si>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</si>
  <si>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</si>
  <si>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</si>
  <si>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</si>
  <si>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</si>
  <si>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</si>
  <si>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</si>
  <si>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</si>
  <si>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</si>
  <si>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</si>
  <si>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</si>
  <si>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</si>
  <si>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</si>
  <si>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</si>
  <si>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</si>
  <si>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</si>
  <si>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</si>
  <si>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</si>
  <si>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</si>
  <si>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</si>
  <si>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</si>
  <si>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</si>
  <si>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</si>
  <si>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</si>
  <si>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</si>
  <si>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</si>
  <si>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</si>
  <si>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</si>
  <si>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</si>
  <si>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</si>
  <si>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</si>
  <si>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</si>
  <si>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</si>
  <si>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</si>
  <si>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</si>
  <si>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</si>
  <si>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</si>
  <si>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</si>
  <si>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</si>
  <si>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</si>
  <si>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</si>
  <si>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</si>
  <si>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</si>
  <si>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</si>
  <si>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</si>
  <si>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</si>
  <si>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</si>
  <si>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</si>
  <si>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</si>
  <si>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</si>
  <si>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</si>
  <si>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</si>
  <si>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</si>
  <si>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</si>
  <si>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</si>
  <si>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</si>
  <si>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</si>
  <si>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</si>
  <si>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</si>
  <si>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</si>
  <si>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</si>
  <si>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</si>
  <si>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</si>
  <si>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</si>
  <si>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</si>
  <si>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</si>
  <si>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</si>
  <si>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</si>
  <si>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</si>
  <si>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</si>
  <si>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</si>
  <si>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</si>
  <si>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</si>
  <si>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</si>
  <si>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</si>
  <si>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</si>
  <si>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</si>
  <si>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</si>
  <si>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</si>
  <si>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</si>
  <si>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</si>
  <si>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</si>
  <si>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</si>
  <si>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</si>
  <si>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</si>
  <si>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</si>
  <si>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</si>
  <si>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</si>
  <si>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</si>
  <si>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</si>
  <si>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</si>
  <si>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</si>
  <si>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</si>
  <si>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</si>
  <si>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</si>
  <si>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</si>
  <si>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</si>
  <si>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</si>
  <si>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</si>
  <si>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</si>
  <si>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</si>
  <si>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</si>
  <si>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</si>
  <si>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</si>
  <si>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</si>
  <si>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</si>
  <si>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</si>
  <si>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</si>
  <si>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</si>
  <si>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</si>
  <si>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</si>
  <si>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</si>
  <si>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</si>
  <si>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</si>
  <si>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</si>
  <si>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</si>
  <si>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</si>
  <si>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</si>
  <si>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</si>
  <si>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</si>
  <si>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</si>
  <si>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</si>
  <si>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</si>
  <si>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</si>
  <si>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</si>
  <si>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</si>
  <si>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</si>
  <si>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</si>
  <si>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</si>
  <si>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</si>
  <si>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</si>
  <si>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</si>
  <si>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</si>
  <si>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</si>
  <si>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</si>
  <si>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</si>
  <si>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</si>
  <si>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</si>
  <si>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</si>
  <si>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</si>
  <si>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</si>
  <si>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</si>
  <si>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</si>
  <si>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</si>
  <si>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</si>
  <si>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</si>
  <si>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</si>
  <si>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</si>
  <si>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</si>
  <si>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</si>
  <si>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</si>
  <si>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</si>
  <si>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</si>
  <si>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</si>
  <si>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</si>
  <si>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</si>
  <si>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</si>
  <si>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</si>
  <si>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</si>
  <si>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</si>
  <si>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</si>
  <si>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</si>
  <si>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</si>
  <si>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</si>
  <si>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</si>
  <si>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</si>
  <si>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</si>
  <si>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</si>
  <si>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</si>
  <si>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</si>
  <si>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</si>
  <si>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</si>
  <si>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</si>
  <si>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</si>
  <si>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</si>
  <si>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</si>
  <si>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</si>
  <si>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</si>
  <si>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</si>
  <si>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</si>
  <si>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</si>
  <si>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</si>
  <si>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</si>
  <si>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</si>
  <si>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</si>
  <si>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</si>
  <si>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</si>
  <si>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</si>
  <si>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</si>
  <si>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</si>
  <si>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</si>
  <si>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</si>
  <si>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</si>
  <si>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</si>
  <si>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</si>
  <si>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</si>
  <si>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</si>
  <si>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</si>
  <si>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</si>
  <si>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</si>
  <si>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</si>
  <si>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</si>
  <si>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</si>
  <si>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</si>
  <si>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</si>
  <si>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</si>
  <si>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</si>
  <si>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</si>
  <si>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</si>
  <si>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</si>
  <si>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</si>
  <si>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</si>
  <si>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</si>
  <si>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</si>
  <si>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</si>
  <si>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</si>
  <si>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</si>
  <si>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</si>
  <si>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</si>
  <si>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</si>
  <si>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</si>
  <si>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</si>
  <si>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</si>
  <si>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</si>
  <si>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</si>
  <si>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</si>
  <si>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</si>
  <si>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</si>
  <si>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</si>
  <si>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</si>
  <si>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</si>
  <si>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</si>
  <si>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</si>
  <si>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</si>
  <si>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</si>
  <si>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</si>
  <si>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</si>
  <si>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</si>
  <si>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</si>
  <si>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</si>
  <si>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</si>
  <si>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</si>
  <si>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</si>
  <si>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</si>
  <si>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</si>
  <si>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</si>
  <si>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</si>
  <si>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</si>
  <si>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</si>
  <si>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</si>
  <si>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</si>
  <si>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</si>
  <si>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</si>
  <si>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</si>
  <si>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</si>
  <si>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</si>
  <si>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</si>
  <si>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</si>
  <si>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</si>
  <si>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</si>
  <si>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</si>
  <si>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</si>
  <si>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</si>
  <si>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</si>
  <si>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</si>
  <si>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</si>
  <si>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</si>
  <si>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</si>
  <si>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</si>
  <si>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</si>
  <si>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</si>
  <si>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</si>
  <si>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</si>
  <si>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</si>
  <si>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</si>
  <si>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</si>
  <si>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</si>
  <si>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</si>
  <si>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</si>
  <si>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</si>
  <si>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</si>
  <si>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</si>
  <si>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</si>
  <si>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</si>
  <si>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</si>
  <si>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</si>
  <si>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</si>
  <si>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</si>
  <si>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</si>
  <si>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</si>
  <si>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</si>
  <si>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</si>
  <si>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</si>
  <si>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</si>
  <si>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</si>
  <si>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</si>
  <si>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</si>
  <si>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</si>
  <si>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</si>
  <si>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</si>
  <si>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</si>
  <si>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</si>
  <si>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</si>
  <si>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</si>
  <si>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</si>
  <si>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</si>
  <si>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</si>
  <si>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</si>
  <si>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</si>
  <si>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</si>
  <si>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</si>
  <si>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</si>
  <si>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</si>
  <si>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</si>
  <si>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</si>
  <si>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</si>
  <si>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</si>
  <si>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</si>
  <si>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</si>
  <si>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</si>
  <si>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</si>
  <si>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</si>
  <si>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</si>
  <si>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</si>
  <si>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</si>
  <si>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</si>
  <si>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</si>
  <si>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</si>
  <si>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</si>
  <si>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</si>
  <si>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</si>
  <si>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</si>
  <si>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</si>
  <si>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</si>
  <si>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</si>
  <si>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</si>
  <si>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</si>
  <si>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</si>
  <si>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</si>
  <si>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</si>
  <si>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</si>
  <si>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</si>
  <si>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</si>
  <si>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</si>
  <si>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</si>
  <si>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</si>
  <si>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</si>
  <si>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</si>
  <si>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</si>
  <si>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</si>
  <si>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</si>
  <si>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</si>
  <si>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</si>
  <si>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</si>
  <si>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</si>
  <si>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</si>
  <si>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</si>
  <si>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</si>
  <si>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</si>
  <si>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</si>
  <si>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</si>
  <si>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</si>
  <si>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</si>
  <si>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</si>
  <si>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</si>
  <si>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</si>
  <si>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</si>
  <si>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</si>
  <si>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</si>
  <si>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</si>
  <si>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</si>
  <si>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</si>
  <si>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</si>
  <si>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</si>
  <si>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</si>
  <si>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</si>
  <si>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</si>
  <si>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</si>
  <si>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</si>
  <si>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</si>
  <si>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</si>
  <si>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</si>
  <si>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</si>
  <si>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</si>
  <si>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</si>
  <si>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</si>
  <si>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</si>
  <si>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</si>
  <si>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</si>
  <si>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</si>
  <si>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</si>
  <si>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</si>
  <si>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</si>
  <si>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</si>
  <si>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</si>
  <si>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</si>
  <si>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</si>
  <si>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</si>
  <si>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</si>
  <si>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</si>
  <si>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</si>
  <si>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</si>
  <si>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</si>
  <si>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</si>
  <si>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</si>
  <si>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</si>
  <si>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</si>
  <si>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</si>
  <si>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</si>
  <si>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</si>
  <si>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</si>
  <si>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</si>
  <si>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</si>
  <si>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</si>
  <si>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</si>
  <si>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</si>
  <si>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</si>
  <si>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</si>
  <si>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</si>
  <si>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</si>
  <si>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</si>
  <si>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</si>
  <si>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</si>
  <si>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</si>
  <si>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</si>
  <si>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</si>
  <si>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</si>
  <si>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</si>
  <si>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</si>
  <si>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</si>
  <si>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</si>
  <si>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</si>
  <si>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</si>
  <si>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</si>
  <si>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</si>
  <si>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</si>
  <si>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</si>
  <si>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</si>
  <si>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</si>
  <si>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</si>
  <si>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</si>
  <si>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</si>
  <si>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</si>
  <si>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</si>
  <si>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</si>
  <si>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</si>
  <si>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</si>
  <si>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</si>
  <si>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</si>
  <si>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</si>
  <si>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</si>
  <si>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</si>
  <si>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</si>
  <si>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</si>
  <si>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</si>
  <si>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</si>
  <si>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</si>
  <si>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</si>
  <si>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</si>
  <si>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</si>
  <si>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</si>
  <si>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</si>
  <si>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</si>
  <si>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</si>
  <si>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</si>
  <si>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</si>
  <si>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</si>
  <si>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</si>
  <si>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</si>
  <si>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</si>
  <si>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</si>
  <si>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</si>
  <si>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</si>
  <si>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</si>
  <si>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</si>
  <si>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</si>
  <si>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</si>
  <si>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</si>
  <si>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</si>
  <si>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</si>
  <si>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</si>
  <si>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</si>
  <si>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</si>
  <si>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</si>
  <si>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</si>
  <si>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</si>
  <si>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</si>
  <si>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</si>
  <si>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</si>
  <si>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</si>
  <si>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</si>
  <si>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</si>
  <si>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</si>
  <si>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</si>
  <si>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</si>
  <si>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</si>
  <si>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</si>
  <si>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</si>
  <si>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</si>
  <si>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</si>
  <si>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</si>
  <si>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</si>
  <si>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</si>
  <si>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</si>
  <si>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</si>
  <si>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</si>
  <si>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</si>
  <si>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</si>
  <si>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</si>
  <si>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</si>
  <si>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</si>
  <si>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</si>
  <si>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</si>
  <si>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</si>
  <si>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</si>
  <si>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</si>
  <si>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</si>
  <si>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</si>
  <si>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</si>
  <si>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</si>
  <si>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</si>
  <si>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</si>
  <si>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</si>
  <si>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</si>
  <si>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</si>
  <si>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</si>
  <si>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</si>
  <si>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</si>
  <si>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</si>
  <si>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</si>
  <si>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</si>
  <si>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</si>
  <si>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</si>
  <si>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</si>
  <si>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</si>
  <si>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</si>
  <si>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</si>
  <si>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</si>
  <si>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</si>
  <si>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</si>
  <si>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</si>
  <si>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</si>
  <si>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</si>
  <si>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</si>
  <si>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</si>
  <si>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</si>
  <si>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</si>
  <si>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</si>
  <si>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</si>
  <si>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</si>
  <si>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</si>
  <si>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</si>
  <si>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</si>
  <si>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</si>
  <si>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</si>
  <si>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</si>
  <si>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</si>
  <si>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</si>
  <si>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</si>
  <si>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</si>
  <si>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</si>
  <si>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</si>
  <si>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</si>
  <si>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</si>
  <si>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</si>
  <si>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</si>
  <si>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</si>
  <si>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</si>
  <si>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</si>
  <si>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</si>
  <si>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</si>
  <si>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</si>
  <si>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</si>
  <si>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</si>
  <si>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</si>
  <si>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</si>
  <si>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</si>
  <si>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</si>
  <si>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</si>
  <si>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</si>
  <si>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</si>
  <si>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</si>
  <si>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</si>
  <si>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</si>
  <si>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</si>
  <si>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</si>
  <si>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</si>
  <si>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</si>
  <si>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</si>
  <si>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</si>
  <si>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</si>
  <si>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</si>
  <si>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</si>
  <si>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</si>
  <si>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</si>
  <si>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</si>
  <si>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</si>
  <si>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</si>
  <si>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</si>
  <si>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</si>
  <si>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</si>
  <si>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</si>
  <si>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</si>
  <si>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</si>
  <si>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</si>
  <si>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</si>
  <si>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</si>
  <si>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</si>
  <si>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</si>
  <si>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</si>
  <si>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</si>
  <si>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</si>
  <si>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</si>
  <si>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</si>
  <si>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</si>
  <si>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</si>
  <si>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</si>
  <si>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</si>
  <si>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</si>
  <si>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</si>
  <si>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</si>
  <si>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</si>
  <si>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</si>
  <si>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</si>
  <si>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</si>
  <si>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</si>
  <si>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</si>
  <si>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</si>
  <si>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</si>
  <si>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</si>
  <si>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</si>
  <si>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</si>
  <si>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</si>
  <si>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</si>
  <si>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</si>
  <si>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</si>
  <si>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</si>
  <si>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</si>
  <si>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</si>
  <si>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</si>
  <si>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</si>
  <si>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</si>
  <si>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</si>
  <si>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</si>
  <si>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</si>
  <si>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</si>
  <si>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</si>
  <si>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</si>
  <si>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</si>
  <si>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</si>
  <si>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</si>
  <si>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</si>
  <si>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</si>
  <si>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</si>
  <si>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</si>
  <si>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</si>
  <si>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</si>
  <si>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</si>
  <si>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</si>
  <si>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</si>
  <si>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</si>
  <si>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</si>
  <si>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</si>
  <si>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</si>
  <si>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</si>
  <si>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</si>
  <si>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</si>
  <si>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</si>
  <si>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</si>
  <si>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</si>
  <si>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</si>
  <si>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</si>
  <si>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</si>
  <si>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</si>
  <si>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</si>
  <si>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</si>
  <si>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</si>
  <si>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</si>
  <si>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</si>
  <si>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</si>
  <si>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</si>
  <si>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</si>
  <si>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</si>
  <si>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</si>
  <si>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</si>
  <si>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</si>
  <si>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</si>
  <si>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</si>
  <si>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</si>
  <si>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</si>
  <si>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</si>
  <si>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</si>
  <si>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</si>
  <si>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</si>
  <si>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</si>
  <si>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</si>
  <si>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</si>
  <si>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</si>
  <si>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</si>
  <si>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</si>
  <si>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</si>
  <si>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</si>
  <si>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</si>
  <si>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</si>
  <si>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</si>
  <si>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</si>
  <si>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</si>
  <si>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</si>
  <si>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</si>
  <si>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</si>
  <si>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</si>
  <si>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</si>
  <si>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</si>
  <si>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</si>
  <si>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</si>
  <si>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</si>
  <si>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</si>
  <si>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</si>
  <si>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</si>
  <si>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</si>
  <si>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</si>
  <si>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</si>
  <si>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</si>
  <si>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</si>
  <si>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</si>
  <si>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</si>
  <si>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</si>
  <si>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</si>
  <si>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</si>
  <si>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</si>
  <si>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</si>
  <si>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</si>
  <si>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</si>
  <si>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</si>
  <si>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</si>
  <si>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</si>
  <si>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</si>
  <si>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</si>
  <si>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</si>
  <si>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</si>
  <si>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</si>
  <si>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</si>
  <si>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</si>
  <si>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</si>
  <si>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</si>
  <si>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</si>
  <si>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</si>
  <si>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</si>
  <si>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</si>
  <si>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</si>
  <si>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</si>
  <si>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</si>
  <si>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</si>
  <si>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</si>
  <si>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</si>
  <si>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</si>
  <si>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</si>
  <si>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</si>
  <si>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</si>
  <si>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</si>
  <si>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</si>
  <si>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</si>
  <si>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</si>
  <si>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</si>
  <si>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</si>
  <si>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</si>
  <si>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</si>
  <si>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</si>
  <si>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</si>
  <si>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</si>
  <si>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</si>
  <si>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</si>
  <si>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</si>
  <si>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</si>
  <si>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</si>
  <si>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</si>
  <si>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</si>
  <si>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</si>
  <si>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</si>
  <si>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</si>
  <si>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</si>
  <si>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</si>
  <si>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</si>
  <si>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</si>
  <si>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</si>
  <si>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</si>
  <si>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</si>
  <si>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</si>
  <si>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</si>
  <si>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</si>
  <si>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</si>
  <si>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</si>
  <si>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</si>
  <si>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</si>
  <si>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</si>
  <si>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</si>
  <si>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</si>
  <si>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</si>
  <si>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</si>
  <si>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</si>
  <si>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</si>
  <si>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</si>
  <si>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</si>
  <si>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</si>
  <si>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</si>
  <si>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</si>
  <si>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</si>
  <si>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</si>
  <si>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</si>
  <si>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</si>
  <si>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</si>
  <si>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</si>
  <si>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</si>
  <si>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</si>
  <si>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</si>
  <si>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</si>
  <si>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</si>
  <si>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</si>
  <si>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</si>
  <si>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</si>
  <si>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</si>
  <si>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</si>
  <si>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</si>
  <si>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</si>
  <si>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</si>
  <si>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</si>
  <si>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</si>
  <si>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</si>
  <si>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</si>
  <si>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</si>
  <si>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</si>
  <si>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</si>
  <si>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</si>
  <si>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</si>
  <si>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</si>
  <si>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</si>
  <si>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</si>
  <si>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</si>
  <si>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</si>
  <si>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</si>
  <si>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</si>
  <si>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</si>
  <si>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</si>
  <si>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</si>
  <si>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</si>
  <si>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</si>
  <si>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</si>
  <si>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</si>
  <si>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</si>
  <si>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</si>
  <si>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</si>
  <si>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</si>
  <si>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</si>
  <si>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</si>
  <si>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</si>
  <si>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</si>
  <si>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</si>
  <si>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</si>
  <si>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</si>
  <si>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</si>
  <si>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</si>
  <si>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</si>
  <si>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</si>
  <si>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</si>
  <si>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</si>
  <si>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</si>
  <si>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</si>
  <si>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</si>
  <si>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</si>
  <si>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</si>
  <si>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</si>
  <si>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</si>
  <si>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</si>
  <si>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</si>
  <si>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</si>
  <si>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</si>
  <si>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</si>
  <si>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</si>
  <si>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</si>
  <si>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</si>
  <si>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</si>
  <si>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</si>
  <si>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</si>
  <si>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</si>
  <si>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</si>
  <si>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</si>
  <si>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</si>
  <si>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</si>
  <si>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</si>
  <si>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</si>
  <si>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</si>
  <si>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</si>
  <si>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</si>
  <si>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</si>
  <si>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</si>
  <si>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</si>
  <si>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</si>
  <si>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</si>
  <si>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</si>
  <si>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</si>
  <si>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</si>
  <si>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</si>
  <si>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</si>
  <si>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</si>
  <si>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</si>
  <si>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</si>
  <si>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</si>
  <si>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</si>
  <si>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</si>
  <si>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</si>
  <si>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</si>
  <si>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</si>
  <si>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</si>
  <si>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</si>
  <si>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</si>
  <si>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</si>
  <si>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</si>
  <si>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</si>
  <si>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</si>
  <si>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</si>
  <si>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</si>
  <si>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</si>
  <si>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</si>
  <si>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</si>
  <si>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</si>
  <si>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</si>
  <si>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</si>
  <si>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</si>
  <si>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</si>
  <si>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</si>
  <si>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</si>
  <si>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</si>
  <si>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</si>
  <si>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</si>
  <si>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</si>
  <si>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</si>
  <si>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</si>
  <si>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</si>
  <si>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</si>
  <si>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</si>
  <si>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</si>
  <si>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</si>
  <si>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</si>
  <si>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</si>
  <si>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</si>
  <si>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</si>
  <si>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</si>
  <si>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</si>
  <si>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</si>
  <si>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</si>
  <si>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</si>
  <si>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</si>
  <si>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</si>
  <si>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</si>
  <si>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</si>
  <si>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</si>
  <si>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</si>
  <si>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</si>
  <si>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</si>
  <si>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</si>
  <si>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</si>
  <si>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</si>
  <si>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</si>
  <si>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</si>
  <si>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</si>
  <si>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</si>
  <si>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</si>
  <si>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</si>
  <si>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</si>
  <si>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</si>
  <si>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</si>
  <si>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</si>
  <si>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</si>
  <si>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</si>
  <si>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</si>
  <si>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</si>
  <si>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</si>
  <si>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</si>
  <si>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</si>
  <si>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</si>
  <si>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</si>
  <si>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</si>
  <si>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</si>
  <si>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</si>
  <si>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</si>
  <si>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</si>
  <si>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</si>
  <si>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</si>
  <si>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</si>
  <si>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</si>
  <si>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</si>
  <si>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</si>
  <si>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</si>
  <si>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</si>
  <si>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</si>
  <si>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</si>
  <si>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</si>
  <si>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</si>
  <si>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</si>
  <si>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</si>
  <si>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</si>
  <si>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</si>
  <si>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</si>
  <si>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</si>
  <si>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</si>
  <si>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</si>
  <si>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</si>
  <si>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</si>
  <si>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</si>
  <si>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</si>
  <si>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</si>
  <si>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</si>
  <si>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</si>
  <si>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</si>
  <si>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</si>
  <si>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</si>
  <si>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</si>
  <si>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</si>
  <si>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</si>
  <si>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</si>
  <si>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</si>
  <si>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</si>
  <si>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</si>
  <si>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</si>
  <si>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</si>
  <si>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</si>
  <si>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</si>
  <si>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</si>
  <si>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</si>
  <si>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</si>
  <si>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</si>
  <si>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</si>
  <si>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</si>
  <si>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</si>
  <si>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</si>
  <si>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</si>
  <si>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</si>
  <si>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</si>
  <si>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</si>
  <si>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</si>
  <si>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</si>
  <si>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</si>
  <si>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</si>
  <si>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</si>
  <si>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</si>
  <si>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</si>
  <si>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</si>
  <si>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</si>
  <si>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</si>
  <si>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</si>
  <si>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</si>
  <si>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</si>
  <si>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</si>
  <si>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</si>
  <si>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</si>
  <si>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</si>
  <si>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</si>
  <si>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</si>
  <si>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</si>
  <si>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</si>
  <si>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</si>
  <si>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</si>
  <si>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</si>
  <si>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</si>
  <si>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</si>
  <si>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</si>
  <si>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</si>
  <si>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</si>
  <si>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</si>
  <si>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</si>
  <si>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</si>
  <si>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</si>
  <si>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</si>
  <si>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</si>
  <si>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</si>
  <si>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</si>
  <si>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</si>
  <si>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</si>
  <si>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</si>
  <si>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</si>
  <si>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</si>
  <si>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</si>
  <si>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</si>
  <si>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</si>
  <si>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</si>
  <si>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</si>
  <si>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</si>
  <si>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</si>
  <si>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</si>
  <si>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</si>
  <si>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</si>
  <si>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</si>
  <si>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</si>
  <si>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</si>
  <si>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</si>
  <si>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</si>
  <si>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</si>
  <si>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</si>
  <si>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</si>
  <si>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</si>
  <si>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</si>
  <si>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</si>
  <si>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</si>
  <si>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</si>
  <si>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</si>
  <si>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</si>
  <si>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</si>
  <si>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</si>
  <si>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</si>
  <si>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</si>
  <si>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</si>
  <si>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</si>
  <si>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</si>
  <si>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</si>
  <si>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</si>
  <si>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</si>
  <si>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</si>
  <si>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</si>
  <si>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</si>
  <si>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</si>
  <si>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</si>
  <si>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</si>
  <si>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</si>
  <si>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</si>
  <si>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</si>
  <si>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</si>
  <si>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</si>
  <si>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</si>
  <si>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</si>
  <si>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</si>
  <si>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</si>
  <si>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</si>
  <si>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</si>
  <si>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</si>
  <si>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</si>
  <si>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</si>
  <si>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</si>
  <si>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</si>
  <si>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</si>
  <si>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</si>
  <si>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</si>
  <si>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</si>
  <si>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</si>
  <si>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</si>
  <si>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</si>
  <si>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</si>
  <si>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</si>
  <si>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</si>
  <si>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</si>
  <si>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</si>
  <si>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</si>
  <si>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</si>
  <si>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</si>
  <si>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</si>
  <si>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</si>
  <si>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</si>
  <si>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</si>
  <si>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</si>
  <si>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</si>
  <si>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</si>
  <si>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</si>
  <si>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</si>
  <si>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</si>
  <si>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</si>
  <si>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</si>
  <si>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</si>
  <si>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</si>
  <si>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</si>
  <si>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</si>
  <si>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</si>
  <si>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</si>
  <si>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</si>
  <si>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</si>
  <si>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</si>
  <si>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</si>
  <si>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</si>
  <si>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</si>
  <si>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</si>
  <si>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</si>
  <si>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</si>
  <si>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</si>
  <si>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</si>
  <si>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</si>
  <si>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</si>
  <si>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</si>
  <si>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</si>
  <si>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</si>
  <si>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</si>
  <si>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</si>
  <si>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</si>
  <si>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</si>
  <si>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</si>
  <si>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</si>
  <si>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</si>
  <si>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</si>
  <si>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</si>
  <si>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</si>
  <si>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</si>
  <si>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</si>
  <si>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</si>
  <si>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</si>
  <si>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</si>
  <si>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</si>
  <si>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</si>
  <si>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</si>
  <si>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</si>
  <si>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</si>
  <si>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</si>
  <si>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</si>
  <si>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</si>
  <si>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</si>
  <si>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</si>
  <si>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</si>
  <si>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</si>
  <si>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</si>
  <si>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</si>
  <si>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</si>
  <si>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</si>
  <si>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</si>
  <si>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</si>
  <si>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</si>
  <si>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</si>
  <si>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</si>
  <si>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</si>
  <si>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</si>
  <si>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</si>
  <si>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</si>
  <si>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</si>
  <si>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</si>
  <si>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</si>
  <si>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</si>
  <si>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</si>
  <si>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</si>
  <si>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</si>
  <si>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</si>
  <si>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</si>
  <si>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</si>
  <si>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</si>
  <si>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</si>
  <si>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</si>
  <si>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</si>
  <si>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</si>
  <si>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</si>
  <si>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</si>
  <si>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</si>
  <si>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</si>
  <si>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</si>
  <si>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</si>
  <si>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</si>
  <si>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</si>
  <si>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</si>
  <si>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</si>
  <si>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</si>
  <si>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</si>
  <si>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</si>
  <si>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</si>
  <si>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</si>
  <si>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</si>
  <si>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</si>
  <si>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</si>
  <si>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</si>
  <si>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</si>
  <si>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</si>
  <si>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</si>
  <si>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</si>
  <si>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</si>
  <si>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</si>
  <si>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</si>
  <si>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</si>
  <si>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</si>
  <si>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</si>
  <si>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</si>
  <si>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</si>
  <si>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</si>
  <si>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</si>
  <si>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</si>
  <si>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</si>
  <si>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</si>
  <si>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</si>
  <si>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</si>
  <si>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</si>
  <si>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</si>
  <si>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</si>
  <si>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</si>
  <si>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</si>
  <si>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</si>
  <si>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</si>
  <si>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</si>
  <si>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</si>
  <si>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</si>
  <si>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</si>
  <si>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</si>
  <si>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</si>
  <si>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</si>
  <si>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</si>
  <si>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</si>
  <si>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</si>
  <si>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</si>
  <si>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</si>
  <si>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</si>
  <si>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</si>
  <si>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</si>
  <si>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</si>
  <si>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</si>
  <si>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</si>
  <si>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</si>
  <si>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</si>
  <si>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</si>
  <si>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</si>
  <si>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</si>
  <si>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</si>
  <si>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</si>
  <si>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</si>
  <si>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</si>
  <si>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</si>
  <si>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</si>
  <si>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</si>
  <si>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</si>
  <si>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</si>
  <si>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</si>
  <si>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</si>
  <si>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</si>
  <si>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</si>
  <si>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</si>
  <si>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</si>
  <si>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</si>
  <si>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</si>
  <si>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</si>
  <si>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</si>
  <si>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</si>
  <si>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</si>
  <si>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</si>
  <si>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</si>
  <si>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</si>
  <si>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</si>
  <si>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</si>
  <si>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</si>
  <si>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</si>
  <si>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</si>
  <si>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</si>
  <si>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</si>
  <si>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</si>
  <si>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</si>
  <si>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</si>
  <si>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</si>
  <si>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</si>
  <si>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</si>
  <si>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</si>
  <si>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</si>
  <si>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</si>
  <si>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</si>
  <si>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</si>
  <si>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</si>
  <si>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</si>
  <si>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</si>
  <si>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</si>
  <si>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</si>
  <si>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</si>
  <si>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</si>
  <si>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</si>
  <si>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</si>
  <si>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</si>
  <si>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</si>
  <si>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</si>
  <si>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</si>
  <si>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</si>
  <si>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</si>
  <si>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</si>
  <si>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</si>
  <si>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</si>
  <si>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</si>
  <si>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</si>
  <si>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</si>
  <si>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</si>
  <si>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</si>
  <si>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</si>
  <si>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</si>
  <si>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</si>
  <si>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</si>
  <si>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</si>
  <si>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</si>
  <si>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</si>
  <si>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</si>
  <si>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</si>
  <si>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</si>
  <si>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</si>
  <si>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</si>
  <si>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</si>
  <si>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</si>
  <si>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</si>
  <si>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</si>
  <si>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</si>
  <si>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</si>
  <si>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</si>
  <si>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</si>
  <si>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</si>
  <si>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</si>
  <si>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</si>
  <si>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</si>
  <si>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</si>
  <si>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</si>
  <si>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</si>
  <si>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</si>
  <si>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</si>
  <si>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</si>
  <si>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</si>
  <si>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</si>
  <si>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</si>
  <si>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</si>
  <si>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</si>
  <si>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</si>
  <si>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</si>
  <si>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</si>
  <si>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</si>
  <si>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</si>
  <si>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</si>
  <si>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</si>
  <si>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</si>
  <si>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</si>
  <si>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</si>
  <si>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</si>
  <si>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</si>
  <si>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</si>
  <si>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</si>
  <si>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</si>
  <si>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</si>
  <si>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</si>
  <si>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</si>
  <si>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</si>
  <si>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</si>
  <si>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</si>
  <si>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</si>
  <si>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</si>
  <si>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</si>
  <si>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</si>
  <si>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</si>
  <si>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</si>
  <si>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</si>
  <si>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</si>
  <si>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</si>
  <si>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</si>
  <si>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</si>
  <si>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</si>
  <si>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</si>
  <si>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</si>
  <si>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</si>
  <si>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</si>
  <si>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</si>
  <si>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</si>
  <si>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</si>
  <si>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</si>
  <si>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</si>
  <si>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</si>
  <si>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</si>
  <si>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</si>
  <si>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</si>
  <si>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</si>
  <si>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</si>
  <si>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</si>
  <si>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</si>
  <si>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</si>
  <si>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</si>
  <si>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</si>
  <si>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</si>
  <si>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</si>
  <si>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</si>
  <si>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</si>
  <si>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</si>
  <si>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</si>
  <si>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</si>
  <si>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</si>
  <si>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</si>
  <si>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</si>
  <si>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</si>
  <si>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</si>
  <si>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</si>
  <si>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</si>
  <si>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</si>
  <si>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</si>
  <si>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</si>
  <si>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</si>
  <si>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</si>
  <si>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</si>
  <si>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</si>
  <si>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</si>
  <si>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</si>
  <si>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</si>
  <si>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</si>
  <si>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</si>
  <si>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</si>
  <si>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</si>
  <si>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</si>
  <si>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</si>
  <si>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</si>
  <si>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</si>
  <si>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</si>
  <si>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</si>
  <si>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</si>
  <si>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</si>
  <si>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</si>
  <si>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</si>
  <si>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</si>
  <si>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</si>
  <si>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</si>
  <si>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</si>
  <si>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</si>
  <si>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</si>
  <si>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</si>
  <si>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</si>
  <si>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</si>
  <si>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</si>
  <si>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</si>
  <si>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</si>
  <si>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</si>
  <si>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</si>
  <si>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</si>
  <si>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</si>
  <si>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</si>
  <si>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</si>
  <si>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</si>
  <si>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</si>
  <si>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</si>
  <si>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</si>
  <si>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</si>
  <si>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</si>
  <si>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</si>
  <si>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</si>
  <si>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</si>
  <si>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</si>
  <si>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</si>
  <si>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</si>
  <si>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</si>
  <si>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</si>
  <si>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</si>
  <si>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</si>
  <si>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</si>
  <si>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</si>
  <si>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</si>
  <si>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</si>
  <si>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</si>
  <si>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</si>
  <si>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</si>
  <si>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</si>
  <si>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</si>
  <si>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</si>
  <si>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</si>
  <si>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</si>
  <si>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</si>
  <si>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</si>
  <si>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</si>
  <si>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</si>
  <si>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</si>
  <si>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</si>
  <si>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</si>
  <si>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</si>
  <si>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</si>
  <si>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</si>
  <si>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</si>
  <si>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</si>
  <si>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</si>
  <si>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</si>
  <si>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</si>
  <si>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</si>
  <si>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</si>
  <si>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</si>
  <si>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</si>
  <si>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</si>
  <si>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</si>
  <si>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</si>
  <si>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</si>
  <si>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</si>
  <si>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</si>
  <si>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</si>
  <si>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</si>
  <si>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</si>
  <si>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</si>
  <si>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</si>
  <si>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</si>
  <si>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</si>
  <si>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</si>
  <si>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</si>
  <si>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</si>
  <si>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</si>
  <si>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</si>
  <si>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</si>
  <si>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</si>
  <si>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</si>
  <si>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</si>
  <si>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</si>
  <si>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</si>
  <si>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</si>
  <si>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</si>
  <si>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</si>
  <si>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</si>
  <si>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</si>
  <si>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</si>
  <si>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</si>
  <si>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</si>
  <si>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</si>
  <si>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</si>
  <si>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</si>
  <si>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</si>
  <si>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</si>
  <si>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</si>
  <si>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</si>
  <si>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</si>
  <si>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</si>
  <si>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</si>
  <si>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</si>
  <si>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</si>
  <si>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</si>
  <si>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</si>
  <si>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</si>
  <si>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</si>
  <si>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</si>
  <si>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</si>
  <si>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</si>
  <si>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</si>
  <si>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</si>
  <si>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</si>
  <si>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</si>
  <si>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</si>
  <si>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</si>
  <si>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</si>
  <si>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</si>
  <si>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</si>
  <si>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</si>
  <si>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</si>
  <si>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</si>
  <si>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</si>
  <si>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</si>
  <si>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</si>
  <si>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</si>
  <si>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</si>
  <si>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</si>
  <si>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</si>
  <si>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</si>
  <si>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</si>
  <si>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</si>
  <si>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</si>
  <si>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</si>
  <si>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</si>
  <si>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</si>
  <si>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</si>
  <si>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</si>
  <si>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</si>
  <si>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</si>
  <si>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</si>
  <si>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</si>
  <si>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</si>
  <si>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</si>
  <si>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</si>
  <si>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</si>
  <si>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</si>
  <si>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</si>
  <si>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</si>
  <si>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</si>
  <si>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</si>
  <si>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</si>
  <si>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</si>
  <si>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</si>
  <si>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</si>
  <si>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</si>
  <si>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</si>
  <si>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</si>
  <si>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</si>
  <si>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</si>
  <si>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</si>
  <si>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</si>
  <si>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</si>
  <si>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</si>
  <si>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</si>
  <si>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</si>
  <si>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</si>
  <si>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</si>
  <si>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</si>
  <si>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</si>
  <si>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</si>
  <si>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</si>
  <si>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</si>
  <si>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</si>
  <si>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</si>
  <si>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</si>
  <si>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</si>
  <si>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</si>
  <si>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</si>
  <si>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</si>
  <si>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</si>
  <si>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</si>
  <si>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</si>
  <si>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</si>
  <si>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</si>
  <si>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</si>
  <si>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</si>
  <si>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</si>
  <si>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</si>
  <si>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</si>
  <si>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</si>
  <si>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</si>
  <si>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</si>
  <si>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</si>
  <si>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</si>
  <si>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</si>
  <si>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</si>
  <si>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</si>
  <si>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</si>
  <si>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</si>
  <si>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</si>
  <si>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</si>
  <si>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</si>
  <si>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</si>
  <si>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</si>
  <si>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</si>
  <si>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</si>
  <si>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</si>
  <si>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</si>
  <si>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</si>
  <si>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</si>
  <si>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</si>
  <si>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</si>
  <si>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</si>
  <si>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</si>
  <si>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</si>
  <si>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</si>
  <si>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</si>
  <si>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</si>
  <si>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</si>
  <si>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</si>
  <si>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</si>
  <si>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</si>
  <si>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</si>
  <si>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</si>
  <si>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</si>
  <si>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</si>
  <si>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</si>
  <si>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</si>
  <si>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</si>
  <si>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</si>
  <si>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</si>
  <si>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</si>
  <si>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</si>
  <si>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</si>
  <si>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</si>
  <si>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</si>
  <si>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</si>
  <si>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</si>
  <si>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</si>
  <si>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</si>
  <si>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</si>
  <si>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</si>
  <si>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</si>
  <si>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</si>
  <si>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</si>
  <si>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</si>
  <si>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</si>
  <si>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</si>
  <si>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</si>
  <si>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</si>
  <si>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</si>
  <si>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</si>
  <si>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</si>
  <si>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</si>
  <si>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</si>
  <si>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</si>
  <si>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</si>
  <si>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</si>
  <si>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</si>
  <si>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</si>
  <si>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</si>
  <si>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</si>
  <si>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</si>
  <si>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</si>
  <si>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</si>
  <si>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</si>
  <si>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</si>
  <si>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</si>
  <si>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</si>
  <si>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</si>
  <si>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</si>
  <si>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</si>
  <si>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</si>
  <si>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</si>
  <si>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</si>
  <si>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</si>
  <si>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</si>
  <si>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</si>
  <si>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</si>
  <si>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</si>
  <si>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</si>
  <si>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</si>
  <si>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</si>
  <si>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</si>
  <si>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</si>
  <si>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</si>
  <si>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</si>
  <si>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</si>
  <si>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</si>
  <si>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</si>
  <si>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</si>
  <si>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</si>
  <si>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</si>
  <si>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</si>
  <si>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</si>
  <si>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</si>
  <si>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</si>
  <si>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</si>
  <si>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</si>
  <si>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</si>
  <si>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</si>
  <si>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</si>
  <si>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</si>
  <si>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</si>
  <si>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</si>
  <si>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</si>
  <si>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</si>
  <si>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</si>
  <si>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</si>
  <si>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</si>
  <si>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</si>
  <si>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</si>
  <si>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</si>
  <si>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</si>
  <si>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</si>
  <si>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</si>
  <si>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</si>
  <si>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</si>
  <si>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</si>
  <si>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</si>
  <si>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</si>
  <si>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</si>
  <si>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</si>
  <si>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</si>
  <si>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</si>
  <si>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</si>
  <si>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</si>
  <si>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</si>
  <si>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</si>
  <si>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</si>
  <si>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</si>
  <si>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</si>
  <si>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</si>
  <si>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</si>
  <si>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</si>
  <si>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</si>
  <si>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</si>
  <si>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</si>
  <si>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</si>
  <si>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</si>
  <si>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</si>
  <si>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</si>
  <si>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</si>
  <si>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</si>
  <si>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</si>
  <si>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</si>
  <si>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</si>
  <si>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</si>
  <si>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</si>
  <si>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</si>
  <si>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</si>
  <si>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</si>
  <si>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</si>
  <si>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764457.03.01</t>
  </si>
  <si>
    <t>Налоговый аудит: Уч. / Г.В.Глазкова.-М.:НИЦ ИНФРА-М,2023.-239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</si>
  <si>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</si>
  <si>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</si>
  <si>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</si>
  <si>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</si>
  <si>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</si>
  <si>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</si>
  <si>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</si>
  <si>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</si>
  <si>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</si>
  <si>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</si>
  <si>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</si>
  <si>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</si>
  <si>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</si>
  <si>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</si>
  <si>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</si>
  <si>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</si>
  <si>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</si>
  <si>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</si>
  <si>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</si>
  <si>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</si>
  <si>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</si>
  <si>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</si>
  <si>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</si>
  <si>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</si>
  <si>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</si>
  <si>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</si>
  <si>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</si>
  <si>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</si>
  <si>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</si>
  <si>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</si>
  <si>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</si>
  <si>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</si>
  <si>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</si>
  <si>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</si>
  <si>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</si>
  <si>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</si>
  <si>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</si>
  <si>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</si>
  <si>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</si>
  <si>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</si>
  <si>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</si>
  <si>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</si>
  <si>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</si>
  <si>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</si>
  <si>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</si>
  <si>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</si>
  <si>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978-5-16-018535-4</t>
  </si>
  <si>
    <t>38.03.01, 38.04.01, 38.04.08, 38.04.09, 38.05.01, 38.05.02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</si>
  <si>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</si>
  <si>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</si>
  <si>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</si>
  <si>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</si>
  <si>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</si>
  <si>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</si>
  <si>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</si>
  <si>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</si>
  <si>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</si>
  <si>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</si>
  <si>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</si>
  <si>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</si>
  <si>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</si>
  <si>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</si>
  <si>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</si>
  <si>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</si>
  <si>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</si>
  <si>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</si>
  <si>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</si>
  <si>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</si>
  <si>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</si>
  <si>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</si>
  <si>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</si>
  <si>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</si>
  <si>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</si>
  <si>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</si>
  <si>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</si>
  <si>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</si>
  <si>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</si>
  <si>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</si>
  <si>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</si>
  <si>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</si>
  <si>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</si>
  <si>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</si>
  <si>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</si>
  <si>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</si>
  <si>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</si>
  <si>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</si>
  <si>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</si>
  <si>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</si>
  <si>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</si>
  <si>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</si>
  <si>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</si>
  <si>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</si>
  <si>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</si>
  <si>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</si>
  <si>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</si>
  <si>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</si>
  <si>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</si>
  <si>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</si>
  <si>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</si>
  <si>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</si>
  <si>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</si>
  <si>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</si>
  <si>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</si>
  <si>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</si>
  <si>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</si>
  <si>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</si>
  <si>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</si>
  <si>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</si>
  <si>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</si>
  <si>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</si>
  <si>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</si>
  <si>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</si>
  <si>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</si>
  <si>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</si>
  <si>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</si>
  <si>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</si>
  <si>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</si>
  <si>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</si>
  <si>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</si>
  <si>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</si>
  <si>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</si>
  <si>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</si>
  <si>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</si>
  <si>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</si>
  <si>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</si>
  <si>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</si>
  <si>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</si>
  <si>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</si>
  <si>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</si>
  <si>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</si>
  <si>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</si>
  <si>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</si>
  <si>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</si>
  <si>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</si>
  <si>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</si>
  <si>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</si>
  <si>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</si>
  <si>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</si>
  <si>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</si>
  <si>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</si>
  <si>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</si>
  <si>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</si>
  <si>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</si>
  <si>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</si>
  <si>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</si>
  <si>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</si>
  <si>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</si>
  <si>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</si>
  <si>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</si>
  <si>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</si>
  <si>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</si>
  <si>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</si>
  <si>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</si>
  <si>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</si>
  <si>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</si>
  <si>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</si>
  <si>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</si>
  <si>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</si>
  <si>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</si>
  <si>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</si>
  <si>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</si>
  <si>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</si>
  <si>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</si>
  <si>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</si>
  <si>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</si>
  <si>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</si>
  <si>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</si>
  <si>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</si>
  <si>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</si>
  <si>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</si>
  <si>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</si>
  <si>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</si>
  <si>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</si>
  <si>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</si>
  <si>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</si>
  <si>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</si>
  <si>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</si>
  <si>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</si>
  <si>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</si>
  <si>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</si>
  <si>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</si>
  <si>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</si>
  <si>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</si>
  <si>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</si>
  <si>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</si>
  <si>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</si>
  <si>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</si>
  <si>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</si>
  <si>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</si>
  <si>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</si>
  <si>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</si>
  <si>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</si>
  <si>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</si>
  <si>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</si>
  <si>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</si>
  <si>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</si>
  <si>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</si>
  <si>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</si>
  <si>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</si>
  <si>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</si>
  <si>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</si>
  <si>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</si>
  <si>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</si>
  <si>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</si>
  <si>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</si>
  <si>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</si>
  <si>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</si>
  <si>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</si>
  <si>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</si>
  <si>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</si>
  <si>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</si>
  <si>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</si>
  <si>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</si>
  <si>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</si>
  <si>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</si>
  <si>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</si>
  <si>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</si>
  <si>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</si>
  <si>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</si>
  <si>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</si>
  <si>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</si>
  <si>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</si>
  <si>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</si>
  <si>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</si>
  <si>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</si>
  <si>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</si>
  <si>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</si>
  <si>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</si>
  <si>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</si>
  <si>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</si>
  <si>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</si>
  <si>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</si>
  <si>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</si>
  <si>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</si>
  <si>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</si>
  <si>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</si>
  <si>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</si>
  <si>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</si>
  <si>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</si>
  <si>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</si>
  <si>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</si>
  <si>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</si>
  <si>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</si>
  <si>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</si>
  <si>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</si>
  <si>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</si>
  <si>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</si>
  <si>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</si>
  <si>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</si>
  <si>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</si>
  <si>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</si>
  <si>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</si>
  <si>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</si>
  <si>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</si>
  <si>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</si>
  <si>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</si>
  <si>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</si>
  <si>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</si>
  <si>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</si>
  <si>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</si>
  <si>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</si>
  <si>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</si>
  <si>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</si>
  <si>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</si>
  <si>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</si>
  <si>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</si>
  <si>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</si>
  <si>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</si>
  <si>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</si>
  <si>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</si>
  <si>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</si>
  <si>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</si>
  <si>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</si>
  <si>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</si>
  <si>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</si>
  <si>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</si>
  <si>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</si>
  <si>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</si>
  <si>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</si>
  <si>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</si>
  <si>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</si>
  <si>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</si>
  <si>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</si>
  <si>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</si>
  <si>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</si>
  <si>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</si>
  <si>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</si>
  <si>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</si>
  <si>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</si>
  <si>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</si>
  <si>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</si>
  <si>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</si>
  <si>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</si>
  <si>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</si>
  <si>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</si>
  <si>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</si>
  <si>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</si>
  <si>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</si>
  <si>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</si>
  <si>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</si>
  <si>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</si>
  <si>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</si>
  <si>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</si>
  <si>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</si>
  <si>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</si>
  <si>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</si>
  <si>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</si>
  <si>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</si>
  <si>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</si>
  <si>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</si>
  <si>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</si>
  <si>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</si>
  <si>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</si>
  <si>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</si>
  <si>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</si>
  <si>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</si>
  <si>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</si>
  <si>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</si>
  <si>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</si>
  <si>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</si>
  <si>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</si>
  <si>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</si>
  <si>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</si>
  <si>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</si>
  <si>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</si>
  <si>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</si>
  <si>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</si>
  <si>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</si>
  <si>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</si>
  <si>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</si>
  <si>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</si>
  <si>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</si>
  <si>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</si>
  <si>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</si>
  <si>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</si>
  <si>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</si>
  <si>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</si>
  <si>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</si>
  <si>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</si>
  <si>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</si>
  <si>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</si>
  <si>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</si>
  <si>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</si>
  <si>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</si>
  <si>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</si>
  <si>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</si>
  <si>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</si>
  <si>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</si>
  <si>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</si>
  <si>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</si>
  <si>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</si>
  <si>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</si>
  <si>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</si>
  <si>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</si>
  <si>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</si>
  <si>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</si>
  <si>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</si>
  <si>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</si>
  <si>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</si>
  <si>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</si>
  <si>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</si>
  <si>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</si>
  <si>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</si>
  <si>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</si>
  <si>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</si>
  <si>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</si>
  <si>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</si>
  <si>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</si>
  <si>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</si>
  <si>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</si>
  <si>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</si>
  <si>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</si>
  <si>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</si>
  <si>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</si>
  <si>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</si>
  <si>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</si>
  <si>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</si>
  <si>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</si>
  <si>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</si>
  <si>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</si>
  <si>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</si>
  <si>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</si>
  <si>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</si>
  <si>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</si>
  <si>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</si>
  <si>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</si>
  <si>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</si>
  <si>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</si>
  <si>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</si>
  <si>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</si>
  <si>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</si>
  <si>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</si>
  <si>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</si>
  <si>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</si>
  <si>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</si>
  <si>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</si>
  <si>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</si>
  <si>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</si>
  <si>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</si>
  <si>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</si>
  <si>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</si>
  <si>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</si>
  <si>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</si>
  <si>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</si>
  <si>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</si>
  <si>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</si>
  <si>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</si>
  <si>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</si>
  <si>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</si>
  <si>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</si>
  <si>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</si>
  <si>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</si>
  <si>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</si>
  <si>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</si>
  <si>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</si>
  <si>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</si>
  <si>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</si>
  <si>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</si>
  <si>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</si>
  <si>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</si>
  <si>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</si>
  <si>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</si>
  <si>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</si>
  <si>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</si>
  <si>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</si>
  <si>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</si>
  <si>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</si>
  <si>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</si>
  <si>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</si>
  <si>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</si>
  <si>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</si>
  <si>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</si>
  <si>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</si>
  <si>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</si>
  <si>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</si>
  <si>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</si>
  <si>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</si>
  <si>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</si>
  <si>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</si>
  <si>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</si>
  <si>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</si>
  <si>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</si>
  <si>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</si>
  <si>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</si>
  <si>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</si>
  <si>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</si>
  <si>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</si>
  <si>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</si>
  <si>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</si>
  <si>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</si>
  <si>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</si>
  <si>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</si>
  <si>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</si>
  <si>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</si>
  <si>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</si>
  <si>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</si>
  <si>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</si>
  <si>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</si>
  <si>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</si>
  <si>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</si>
  <si>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</si>
  <si>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</si>
  <si>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</si>
  <si>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</si>
  <si>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</si>
  <si>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</si>
  <si>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</si>
  <si>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</si>
  <si>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</si>
  <si>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</si>
  <si>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</si>
  <si>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</si>
  <si>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</si>
  <si>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</si>
  <si>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</si>
  <si>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</si>
  <si>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</si>
  <si>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</si>
  <si>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</si>
  <si>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</si>
  <si>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</si>
  <si>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</si>
  <si>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</si>
  <si>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</si>
  <si>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</si>
  <si>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</si>
  <si>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</si>
  <si>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</si>
  <si>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</si>
  <si>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</si>
  <si>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</si>
  <si>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</si>
  <si>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</si>
  <si>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</si>
  <si>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</si>
  <si>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</si>
  <si>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</si>
  <si>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</si>
  <si>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</si>
  <si>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</si>
  <si>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</si>
  <si>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</si>
  <si>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</si>
  <si>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</si>
  <si>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</si>
  <si>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</si>
  <si>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</si>
  <si>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</si>
  <si>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</si>
  <si>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</si>
  <si>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</si>
  <si>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</si>
  <si>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</si>
  <si>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</si>
  <si>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</si>
  <si>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</si>
  <si>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</si>
  <si>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</si>
  <si>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</si>
  <si>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</si>
  <si>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</si>
  <si>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</si>
  <si>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</si>
  <si>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</si>
  <si>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</si>
  <si>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</si>
  <si>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</si>
  <si>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</si>
  <si>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</si>
  <si>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</si>
  <si>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</si>
  <si>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</si>
  <si>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</si>
  <si>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</si>
  <si>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</si>
  <si>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</si>
  <si>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</si>
  <si>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</si>
  <si>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</si>
  <si>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</si>
  <si>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</si>
  <si>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</si>
  <si>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</si>
  <si>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</si>
  <si>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</si>
  <si>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</si>
  <si>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</si>
  <si>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</si>
  <si>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</si>
  <si>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</si>
  <si>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</si>
  <si>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</si>
  <si>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</si>
  <si>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</si>
  <si>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</si>
  <si>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</si>
  <si>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</si>
  <si>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</si>
  <si>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</si>
  <si>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</si>
  <si>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</si>
  <si>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</si>
  <si>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</si>
  <si>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</si>
  <si>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</si>
  <si>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</si>
  <si>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</si>
  <si>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</si>
  <si>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</si>
  <si>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</si>
  <si>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</si>
  <si>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</si>
  <si>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</si>
  <si>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</si>
  <si>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</si>
  <si>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</si>
  <si>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</si>
  <si>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</si>
  <si>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</si>
  <si>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</si>
  <si>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</si>
  <si>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</si>
  <si>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</si>
  <si>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</si>
  <si>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</si>
  <si>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</si>
  <si>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</si>
  <si>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</si>
  <si>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</si>
  <si>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</si>
  <si>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</si>
  <si>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</si>
  <si>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</si>
  <si>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</si>
  <si>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</si>
  <si>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</si>
  <si>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</si>
  <si>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</si>
  <si>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</si>
  <si>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</si>
  <si>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</si>
  <si>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</si>
  <si>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</si>
  <si>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</si>
  <si>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</si>
  <si>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</si>
  <si>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</si>
  <si>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</si>
  <si>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</si>
  <si>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</si>
  <si>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</si>
  <si>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</si>
  <si>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</si>
  <si>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</si>
  <si>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</si>
  <si>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</si>
  <si>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</si>
  <si>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</si>
  <si>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</si>
  <si>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</si>
  <si>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</si>
  <si>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</si>
  <si>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</si>
  <si>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</si>
  <si>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</si>
  <si>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</si>
  <si>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</si>
  <si>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</si>
  <si>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</si>
  <si>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</si>
  <si>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</si>
  <si>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</si>
  <si>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</si>
  <si>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</si>
  <si>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</si>
  <si>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</si>
  <si>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</si>
  <si>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</si>
  <si>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</si>
  <si>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</si>
  <si>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</si>
  <si>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</si>
  <si>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</si>
  <si>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</si>
  <si>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</si>
  <si>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</si>
  <si>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</si>
  <si>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</si>
  <si>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</si>
  <si>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</si>
  <si>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</si>
  <si>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</si>
  <si>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</si>
  <si>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</si>
  <si>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</si>
  <si>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</si>
  <si>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</si>
  <si>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</si>
  <si>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</si>
  <si>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</si>
  <si>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</si>
  <si>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</si>
  <si>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</si>
  <si>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</si>
  <si>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</si>
  <si>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</si>
  <si>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</si>
  <si>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</si>
  <si>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</si>
  <si>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</si>
  <si>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</si>
  <si>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</si>
  <si>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</si>
  <si>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</si>
  <si>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</si>
  <si>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</si>
  <si>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</si>
  <si>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</si>
  <si>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</si>
  <si>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</si>
  <si>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</si>
  <si>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</si>
  <si>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</si>
  <si>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</si>
  <si>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</si>
  <si>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</si>
  <si>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</si>
  <si>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</si>
  <si>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</si>
  <si>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</si>
  <si>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</si>
  <si>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</si>
  <si>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</si>
  <si>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</si>
  <si>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</si>
  <si>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</si>
  <si>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</si>
  <si>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</si>
  <si>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</si>
  <si>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</si>
  <si>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</si>
  <si>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</si>
  <si>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</si>
  <si>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</si>
  <si>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</si>
  <si>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</si>
  <si>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</si>
  <si>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</si>
  <si>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</si>
  <si>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</si>
  <si>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</si>
  <si>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</si>
  <si>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</si>
  <si>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</si>
  <si>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</si>
  <si>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</si>
  <si>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</si>
  <si>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</si>
  <si>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</si>
  <si>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</si>
  <si>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</si>
  <si>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</si>
  <si>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</si>
  <si>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</si>
  <si>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</si>
  <si>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</si>
  <si>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</si>
  <si>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</si>
  <si>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</si>
  <si>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</si>
  <si>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</si>
  <si>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</si>
  <si>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</si>
  <si>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</si>
  <si>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</si>
  <si>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</si>
  <si>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</si>
  <si>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</si>
  <si>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</si>
  <si>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</si>
  <si>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</si>
  <si>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</si>
  <si>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</si>
  <si>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</si>
  <si>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</si>
  <si>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</si>
  <si>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</si>
  <si>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</si>
  <si>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</si>
  <si>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</si>
  <si>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</si>
  <si>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</si>
  <si>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</si>
  <si>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</si>
  <si>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</si>
  <si>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</si>
  <si>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</si>
  <si>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</si>
  <si>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</si>
  <si>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</si>
  <si>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</si>
  <si>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</si>
  <si>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</si>
  <si>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</si>
  <si>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</si>
  <si>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</si>
  <si>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</si>
  <si>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</si>
  <si>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</si>
  <si>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</si>
  <si>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</si>
  <si>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</si>
  <si>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</si>
  <si>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</si>
  <si>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</si>
  <si>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</si>
  <si>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</si>
  <si>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</si>
  <si>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</si>
  <si>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</si>
  <si>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</si>
  <si>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</si>
  <si>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</si>
  <si>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</si>
  <si>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</si>
  <si>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</si>
  <si>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</si>
  <si>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</si>
  <si>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</si>
  <si>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</si>
  <si>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</si>
  <si>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</si>
  <si>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</si>
  <si>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</si>
  <si>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</si>
  <si>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</si>
  <si>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</si>
  <si>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</si>
  <si>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</si>
  <si>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</si>
  <si>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</si>
  <si>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</si>
  <si>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</si>
  <si>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</si>
  <si>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</si>
  <si>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</si>
  <si>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</si>
  <si>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</si>
  <si>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</si>
  <si>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</si>
  <si>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</si>
  <si>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</si>
  <si>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</si>
  <si>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</si>
  <si>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</si>
  <si>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</si>
  <si>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</si>
  <si>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</si>
  <si>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</si>
  <si>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</si>
  <si>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</si>
  <si>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</si>
  <si>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</si>
  <si>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</si>
  <si>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</si>
  <si>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</si>
  <si>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</si>
  <si>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</si>
  <si>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</si>
  <si>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</si>
  <si>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</si>
  <si>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</si>
  <si>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</si>
  <si>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</si>
  <si>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</si>
  <si>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</si>
  <si>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</si>
  <si>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</si>
  <si>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</si>
  <si>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</si>
  <si>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</si>
  <si>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</si>
  <si>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</si>
  <si>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</si>
  <si>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</si>
  <si>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</si>
  <si>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</si>
  <si>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</si>
  <si>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</si>
  <si>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</si>
  <si>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</si>
  <si>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</si>
  <si>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</si>
  <si>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</si>
  <si>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</si>
  <si>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</si>
  <si>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</si>
  <si>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</si>
  <si>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</si>
  <si>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</si>
  <si>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</si>
  <si>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</si>
  <si>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</si>
  <si>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</si>
  <si>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</si>
  <si>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</si>
  <si>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</si>
  <si>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</si>
  <si>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</si>
  <si>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</si>
  <si>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</si>
  <si>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</si>
  <si>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</si>
  <si>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</si>
  <si>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</si>
  <si>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</si>
  <si>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</si>
  <si>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</si>
  <si>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</si>
  <si>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</si>
  <si>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</si>
  <si>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</si>
  <si>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</si>
  <si>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</si>
  <si>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</si>
  <si>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</si>
  <si>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</si>
  <si>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</si>
  <si>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</si>
  <si>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</si>
  <si>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</si>
  <si>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</si>
  <si>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</si>
  <si>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</si>
  <si>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</si>
  <si>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</si>
  <si>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</si>
  <si>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</si>
  <si>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</si>
  <si>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</si>
  <si>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</si>
  <si>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</si>
  <si>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</si>
  <si>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</si>
  <si>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</si>
  <si>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</si>
  <si>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</si>
  <si>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</si>
  <si>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</si>
  <si>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</si>
  <si>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</si>
  <si>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</si>
  <si>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</si>
  <si>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</si>
  <si>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</si>
  <si>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</si>
  <si>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</si>
  <si>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</si>
  <si>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</si>
  <si>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</si>
  <si>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</si>
  <si>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</si>
  <si>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</si>
  <si>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</si>
  <si>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</si>
  <si>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</si>
  <si>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</si>
  <si>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</si>
  <si>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</si>
  <si>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</si>
  <si>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</si>
  <si>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</si>
  <si>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</si>
  <si>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</si>
  <si>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</si>
  <si>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</si>
  <si>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</si>
  <si>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</si>
  <si>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</si>
  <si>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</si>
  <si>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</si>
  <si>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</si>
  <si>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</si>
  <si>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</si>
  <si>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</si>
  <si>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</si>
  <si>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</si>
  <si>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</si>
  <si>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</si>
  <si>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</si>
  <si>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</si>
  <si>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</si>
  <si>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</si>
  <si>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</si>
  <si>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</si>
  <si>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</si>
  <si>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</si>
  <si>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</si>
  <si>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</si>
  <si>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</si>
  <si>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</si>
  <si>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</si>
  <si>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</si>
  <si>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</si>
  <si>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</si>
  <si>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</si>
  <si>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</si>
  <si>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</si>
  <si>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</si>
  <si>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</si>
  <si>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</si>
  <si>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</si>
  <si>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</si>
  <si>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</si>
  <si>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</si>
  <si>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</si>
  <si>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</si>
  <si>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</si>
  <si>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</si>
  <si>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</si>
  <si>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</si>
  <si>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</si>
  <si>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</si>
  <si>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</si>
  <si>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</si>
  <si>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</si>
  <si>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</si>
  <si>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</si>
  <si>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</si>
  <si>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</si>
  <si>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</si>
  <si>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</si>
  <si>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</si>
  <si>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</si>
  <si>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</si>
  <si>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</si>
  <si>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</si>
  <si>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</si>
  <si>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</si>
  <si>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</si>
  <si>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</si>
  <si>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</si>
  <si>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</si>
  <si>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</si>
  <si>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</si>
  <si>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</si>
  <si>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</si>
  <si>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</si>
  <si>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</si>
  <si>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</si>
  <si>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</si>
  <si>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</si>
  <si>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</si>
  <si>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</si>
  <si>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</si>
  <si>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</si>
  <si>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</si>
  <si>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</si>
  <si>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</si>
  <si>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</si>
  <si>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</si>
  <si>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</si>
  <si>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</si>
  <si>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</si>
  <si>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</si>
  <si>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</si>
  <si>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</si>
  <si>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</si>
  <si>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</si>
  <si>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</si>
  <si>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</si>
  <si>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</si>
  <si>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</si>
  <si>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</si>
  <si>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</si>
  <si>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</si>
  <si>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</si>
  <si>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</si>
  <si>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</si>
  <si>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</si>
  <si>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</si>
  <si>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</si>
  <si>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</si>
  <si>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</si>
  <si>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</si>
  <si>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</si>
  <si>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</si>
  <si>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</si>
  <si>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</si>
  <si>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</si>
  <si>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</si>
  <si>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</si>
  <si>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</si>
  <si>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</si>
  <si>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</si>
  <si>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</si>
  <si>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</si>
  <si>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</si>
  <si>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</si>
  <si>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</si>
  <si>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</si>
  <si>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</si>
  <si>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</si>
  <si>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</si>
  <si>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</si>
  <si>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</si>
  <si>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</si>
  <si>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</si>
  <si>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</si>
  <si>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</si>
  <si>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</si>
  <si>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</si>
  <si>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</si>
  <si>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</si>
  <si>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</si>
  <si>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</si>
  <si>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</si>
  <si>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</si>
  <si>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</si>
  <si>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</si>
  <si>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</si>
  <si>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</si>
  <si>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</si>
  <si>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</si>
  <si>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</si>
  <si>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</si>
  <si>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</si>
  <si>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</si>
  <si>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</si>
  <si>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</si>
  <si>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</si>
  <si>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</si>
  <si>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</si>
  <si>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</si>
  <si>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</si>
  <si>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</si>
  <si>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</si>
  <si>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</si>
  <si>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</si>
  <si>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</si>
  <si>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</si>
  <si>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</si>
  <si>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</si>
  <si>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</si>
  <si>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</si>
  <si>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</si>
  <si>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</si>
  <si>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</si>
  <si>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</si>
  <si>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</si>
  <si>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</si>
  <si>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</si>
  <si>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</si>
  <si>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</si>
  <si>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</si>
  <si>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</si>
  <si>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</si>
  <si>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</si>
  <si>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</si>
  <si>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</si>
  <si>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</si>
  <si>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</si>
  <si>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</si>
  <si>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</si>
  <si>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</si>
  <si>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</si>
  <si>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</si>
  <si>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</si>
  <si>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</si>
  <si>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</si>
  <si>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</si>
  <si>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</si>
  <si>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</si>
  <si>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</si>
  <si>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</si>
  <si>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</si>
  <si>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</si>
  <si>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</si>
  <si>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</si>
  <si>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</si>
  <si>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</si>
  <si>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</si>
  <si>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</si>
  <si>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</si>
  <si>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</si>
  <si>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</si>
  <si>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</si>
  <si>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</si>
  <si>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</si>
  <si>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</si>
  <si>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</si>
  <si>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</si>
  <si>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</si>
  <si>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</si>
  <si>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</si>
  <si>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</si>
  <si>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</si>
  <si>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</si>
  <si>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</si>
  <si>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</si>
  <si>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</si>
  <si>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</si>
  <si>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</si>
  <si>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</si>
  <si>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</si>
  <si>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</si>
  <si>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</si>
  <si>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</si>
  <si>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</si>
  <si>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</si>
  <si>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</si>
  <si>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</si>
  <si>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</si>
  <si>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</si>
  <si>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</si>
  <si>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</si>
  <si>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</si>
  <si>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</si>
  <si>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</si>
  <si>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</si>
  <si>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</si>
  <si>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</si>
  <si>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</si>
  <si>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</si>
  <si>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</si>
  <si>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</si>
  <si>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</si>
  <si>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</si>
  <si>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</si>
  <si>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</si>
  <si>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</si>
  <si>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</si>
  <si>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</si>
  <si>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</si>
  <si>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</si>
  <si>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</si>
  <si>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</si>
  <si>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</si>
  <si>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</si>
  <si>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</si>
  <si>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</si>
  <si>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</si>
  <si>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</si>
  <si>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</si>
  <si>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</si>
  <si>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</si>
  <si>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</si>
  <si>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</si>
  <si>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</si>
  <si>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</si>
  <si>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</si>
  <si>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</si>
  <si>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</si>
  <si>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</si>
  <si>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</si>
  <si>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</si>
  <si>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</si>
  <si>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</si>
  <si>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</si>
  <si>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</si>
  <si>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</si>
  <si>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</si>
  <si>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</si>
  <si>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</si>
  <si>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</si>
  <si>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</si>
  <si>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</si>
  <si>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</si>
  <si>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</si>
  <si>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</si>
  <si>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</si>
  <si>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</si>
  <si>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</si>
  <si>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</si>
  <si>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</si>
  <si>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</si>
  <si>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</si>
  <si>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</si>
  <si>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</si>
  <si>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</si>
  <si>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</si>
  <si>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</si>
  <si>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</si>
  <si>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</si>
  <si>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</si>
  <si>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</si>
  <si>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</si>
  <si>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</si>
  <si>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</si>
  <si>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</si>
  <si>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</si>
  <si>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</si>
  <si>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</si>
  <si>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</si>
  <si>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</si>
  <si>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</si>
  <si>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</si>
  <si>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</si>
  <si>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</si>
  <si>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</si>
  <si>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</si>
  <si>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</si>
  <si>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</si>
  <si>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</si>
  <si>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</si>
  <si>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</si>
  <si>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</si>
  <si>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</si>
  <si>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</si>
  <si>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</si>
  <si>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</si>
  <si>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</si>
  <si>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</si>
  <si>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</si>
  <si>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</si>
  <si>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</si>
  <si>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</si>
  <si>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</si>
  <si>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</si>
  <si>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</si>
  <si>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</si>
  <si>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</si>
  <si>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Высшее образование: Магистратура (РЭУ)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</si>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</sst>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1260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814.9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430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1494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13">
        <v>954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724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1900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1050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1270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13">
        <v>920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13">
        <v>990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2010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1390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1660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1724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730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590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1900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1664.9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1000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730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2680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13">
        <v>974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450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1300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880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13">
        <v>880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1480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674.9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614.9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1000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670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13">
        <v>940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1024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134.9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1270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2255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HYPERLINK("https://znanium.ru/catalog/product/2089352",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754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1514.9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1520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2024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1034.9000000000001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394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704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1404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1540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2160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1750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619.9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13">
        <v>904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2260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2134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2100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1180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1510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1180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1574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1444.9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144.9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13">
        <v>940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754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570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2430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1994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1444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2180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13">
        <v>934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630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1144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13">
        <v>884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1530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1330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1014.9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1150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654.9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13">
        <v>990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1520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269.89999999999998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1500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1500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2560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754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1340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1104.9000000000001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654.9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1360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1354.9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654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1804.9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2064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804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2750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2220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13">
        <v>840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2164.9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2200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13">
        <v>850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1390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714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HYPERLINK("https://znanium.ru/catalog/product/960066",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13">
        <v>910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2170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1264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13">
        <v>874.9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1290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1280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1674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13">
        <v>874.9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1144.9000000000001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13">
        <v>994.9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1994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1560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664.9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1874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1940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13">
        <v>844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1710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2130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710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13">
        <v>990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1610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13">
        <v>970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1850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13">
        <v>964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HYPERLINK("https://znanium.ru/catalog/product/929645",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1280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820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1480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2700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2190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699.9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1744.9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1250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1144.9000000000001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89.9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13">
        <v>864.9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1264.9000000000001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2580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2590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1324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1194.9000000000001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2700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2200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2440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2094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2144.9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1274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13">
        <v>864.9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1584.9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1654.9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604.9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1424.9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2700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13">
        <v>994.9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13">
        <v>974.9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13">
        <v>954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1120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1764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HYPERLINK("https://znanium.ru/catalog/product/1846433",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580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524.9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13">
        <v>920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1370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1200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1010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1144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13">
        <v>980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1820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13">
        <v>874.9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13">
        <v>850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1200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660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810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450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620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13">
        <v>990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724.9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724.9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1040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560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610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1324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789.9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13">
        <v>864.9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780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570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13">
        <v>914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750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13">
        <v>850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1220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354.9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400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500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770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1094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580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13">
        <v>984.9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620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13">
        <v>894.9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1230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1294.9000000000001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1994.9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2090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644.9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650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674.9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1020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820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1000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1604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2174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2444.9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734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1304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124.9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2230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104.9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1490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1154.9000000000001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13">
        <v>860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13">
        <v>944.9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370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1994.9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1890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13">
        <v>930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2160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13">
        <v>870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674.9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2290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1304.9000000000001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684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2484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1794.9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1324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3099.9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13">
        <v>850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18.899999999999999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730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1240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1204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1164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794.9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13">
        <v>954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420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1500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1324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1140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550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13">
        <v>960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13">
        <v>990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560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1440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1522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650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454.9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13">
        <v>854.9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794.9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13">
        <v>900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13">
        <v>990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614.9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764.9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2444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1710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2600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13">
        <v>894.9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700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290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13">
        <v>834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740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1354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1040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1484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1650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2790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774.9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1724.9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1094.9000000000001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39</v>
      </c>
      <c r="J281" s="9">
        <v>1</v>
      </c>
      <c r="K281" s="9">
        <v>281</v>
      </c>
      <c r="L281" s="9">
        <v>2022</v>
      </c>
      <c r="M281" s="8" t="s">
        <v>1784</v>
      </c>
      <c r="N281" s="8" t="s">
        <v>41</v>
      </c>
      <c r="O281" s="8" t="s">
        <v>96</v>
      </c>
      <c r="P281" s="6" t="s">
        <v>43</v>
      </c>
      <c r="Q281" s="8" t="s">
        <v>44</v>
      </c>
      <c r="R281" s="10" t="s">
        <v>1785</v>
      </c>
      <c r="S281" s="11"/>
      <c r="T281" s="6"/>
      <c r="U281" s="28" t="str">
        <f>HYPERLINK("https://media.infra-m.ru/1853/1853831/cover/1853831.jpg", "Обложка")</f>
        <v>Обложка</v>
      </c>
      <c r="V281" s="28" t="str">
        <f>HYPERLINK("https://znanium.ru/catalog/product/1055181", "Ознакомиться")</f>
        <v>Ознакомиться</v>
      </c>
      <c r="W281" s="8" t="s">
        <v>1786</v>
      </c>
      <c r="X281" s="6"/>
      <c r="Y281" s="6"/>
      <c r="Z281" s="6"/>
      <c r="AA281" s="6" t="s">
        <v>613</v>
      </c>
    </row>
    <row r="282" spans="1:27" s="4" customFormat="1" ht="44.1" customHeight="1">
      <c r="A282" s="5">
        <v>0</v>
      </c>
      <c r="B282" s="6" t="s">
        <v>1787</v>
      </c>
      <c r="C282" s="13">
        <v>750</v>
      </c>
      <c r="D282" s="8" t="s">
        <v>1788</v>
      </c>
      <c r="E282" s="8" t="s">
        <v>1789</v>
      </c>
      <c r="F282" s="8" t="s">
        <v>1790</v>
      </c>
      <c r="G282" s="6" t="s">
        <v>53</v>
      </c>
      <c r="H282" s="6" t="s">
        <v>54</v>
      </c>
      <c r="I282" s="8" t="s">
        <v>192</v>
      </c>
      <c r="J282" s="9">
        <v>1</v>
      </c>
      <c r="K282" s="9">
        <v>164</v>
      </c>
      <c r="L282" s="9">
        <v>2024</v>
      </c>
      <c r="M282" s="8" t="s">
        <v>1791</v>
      </c>
      <c r="N282" s="8" t="s">
        <v>41</v>
      </c>
      <c r="O282" s="8" t="s">
        <v>42</v>
      </c>
      <c r="P282" s="6" t="s">
        <v>66</v>
      </c>
      <c r="Q282" s="8" t="s">
        <v>67</v>
      </c>
      <c r="R282" s="10" t="s">
        <v>1792</v>
      </c>
      <c r="S282" s="11"/>
      <c r="T282" s="6" t="s">
        <v>151</v>
      </c>
      <c r="U282" s="28" t="str">
        <f>HYPERLINK("https://media.infra-m.ru/2073/2073493/cover/2073493.jpg", "Обложка")</f>
        <v>Обложка</v>
      </c>
      <c r="V282" s="28" t="str">
        <f>HYPERLINK("https://znanium.ru/catalog/product/2073493", "Ознакомиться")</f>
        <v>Ознакомиться</v>
      </c>
      <c r="W282" s="8" t="s">
        <v>119</v>
      </c>
      <c r="X282" s="6"/>
      <c r="Y282" s="6"/>
      <c r="Z282" s="6"/>
      <c r="AA282" s="6" t="s">
        <v>445</v>
      </c>
    </row>
    <row r="283" spans="1:27" s="4" customFormat="1" ht="44.1" customHeight="1">
      <c r="A283" s="5">
        <v>0</v>
      </c>
      <c r="B283" s="6" t="s">
        <v>1793</v>
      </c>
      <c r="C283" s="13">
        <v>494.9</v>
      </c>
      <c r="D283" s="8" t="s">
        <v>1794</v>
      </c>
      <c r="E283" s="8" t="s">
        <v>1795</v>
      </c>
      <c r="F283" s="8" t="s">
        <v>1790</v>
      </c>
      <c r="G283" s="6" t="s">
        <v>53</v>
      </c>
      <c r="H283" s="6" t="s">
        <v>54</v>
      </c>
      <c r="I283" s="8"/>
      <c r="J283" s="9">
        <v>1</v>
      </c>
      <c r="K283" s="9">
        <v>164</v>
      </c>
      <c r="L283" s="9">
        <v>2018</v>
      </c>
      <c r="M283" s="8" t="s">
        <v>1791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1792</v>
      </c>
      <c r="S283" s="11"/>
      <c r="T283" s="6"/>
      <c r="U283" s="28" t="str">
        <f>HYPERLINK("https://media.infra-m.ru/0958/0958827/cover/958827.jpg",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82</v>
      </c>
    </row>
    <row r="284" spans="1:27" s="4" customFormat="1" ht="51.95" customHeight="1">
      <c r="A284" s="5">
        <v>0</v>
      </c>
      <c r="B284" s="6" t="s">
        <v>1796</v>
      </c>
      <c r="C284" s="7">
        <v>2120</v>
      </c>
      <c r="D284" s="8" t="s">
        <v>1797</v>
      </c>
      <c r="E284" s="8" t="s">
        <v>1798</v>
      </c>
      <c r="F284" s="8" t="s">
        <v>1799</v>
      </c>
      <c r="G284" s="6" t="s">
        <v>75</v>
      </c>
      <c r="H284" s="6" t="s">
        <v>38</v>
      </c>
      <c r="I284" s="8" t="s">
        <v>94</v>
      </c>
      <c r="J284" s="9">
        <v>1</v>
      </c>
      <c r="K284" s="9">
        <v>472</v>
      </c>
      <c r="L284" s="9">
        <v>2022</v>
      </c>
      <c r="M284" s="8" t="s">
        <v>1800</v>
      </c>
      <c r="N284" s="8" t="s">
        <v>41</v>
      </c>
      <c r="O284" s="8" t="s">
        <v>96</v>
      </c>
      <c r="P284" s="6" t="s">
        <v>78</v>
      </c>
      <c r="Q284" s="8" t="s">
        <v>97</v>
      </c>
      <c r="R284" s="10" t="s">
        <v>1801</v>
      </c>
      <c r="S284" s="11" t="s">
        <v>1802</v>
      </c>
      <c r="T284" s="6"/>
      <c r="U284" s="28" t="str">
        <f>HYPERLINK("https://media.infra-m.ru/1948/1948217/cover/1948217.jpg", "Обложка")</f>
        <v>Обложка</v>
      </c>
      <c r="V284" s="28" t="str">
        <f>HYPERLINK("https://znanium.ru/catalog/product/1846445", "Ознакомиться")</f>
        <v>Ознакомиться</v>
      </c>
      <c r="W284" s="8" t="s">
        <v>119</v>
      </c>
      <c r="X284" s="6"/>
      <c r="Y284" s="6"/>
      <c r="Z284" s="6"/>
      <c r="AA284" s="6" t="s">
        <v>101</v>
      </c>
    </row>
    <row r="285" spans="1:27" s="4" customFormat="1" ht="51.95" customHeight="1">
      <c r="A285" s="5">
        <v>0</v>
      </c>
      <c r="B285" s="6" t="s">
        <v>1803</v>
      </c>
      <c r="C285" s="7">
        <v>1834</v>
      </c>
      <c r="D285" s="8" t="s">
        <v>1804</v>
      </c>
      <c r="E285" s="8" t="s">
        <v>1798</v>
      </c>
      <c r="F285" s="8" t="s">
        <v>1805</v>
      </c>
      <c r="G285" s="6" t="s">
        <v>75</v>
      </c>
      <c r="H285" s="6" t="s">
        <v>38</v>
      </c>
      <c r="I285" s="8" t="s">
        <v>224</v>
      </c>
      <c r="J285" s="9">
        <v>1</v>
      </c>
      <c r="K285" s="9">
        <v>399</v>
      </c>
      <c r="L285" s="9">
        <v>2024</v>
      </c>
      <c r="M285" s="8" t="s">
        <v>1806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486</v>
      </c>
      <c r="S285" s="11" t="s">
        <v>1807</v>
      </c>
      <c r="T285" s="6"/>
      <c r="U285" s="28" t="str">
        <f>HYPERLINK("https://media.infra-m.ru/2082/2082047/cover/2082047.jpg", "Обложка")</f>
        <v>Обложка</v>
      </c>
      <c r="V285" s="28" t="str">
        <f>HYPERLINK("https://znanium.ru/catalog/product/2082009", "Ознакомиться")</f>
        <v>Ознакомиться</v>
      </c>
      <c r="W285" s="8" t="s">
        <v>119</v>
      </c>
      <c r="X285" s="6"/>
      <c r="Y285" s="6"/>
      <c r="Z285" s="6"/>
      <c r="AA285" s="6" t="s">
        <v>405</v>
      </c>
    </row>
    <row r="286" spans="1:27" s="4" customFormat="1" ht="51.95" customHeight="1">
      <c r="A286" s="5">
        <v>0</v>
      </c>
      <c r="B286" s="6" t="s">
        <v>1808</v>
      </c>
      <c r="C286" s="7">
        <v>1254.9000000000001</v>
      </c>
      <c r="D286" s="8" t="s">
        <v>1809</v>
      </c>
      <c r="E286" s="8" t="s">
        <v>1798</v>
      </c>
      <c r="F286" s="8" t="s">
        <v>1810</v>
      </c>
      <c r="G286" s="6" t="s">
        <v>37</v>
      </c>
      <c r="H286" s="6" t="s">
        <v>54</v>
      </c>
      <c r="I286" s="8" t="s">
        <v>94</v>
      </c>
      <c r="J286" s="9">
        <v>1</v>
      </c>
      <c r="K286" s="9">
        <v>369</v>
      </c>
      <c r="L286" s="9">
        <v>2020</v>
      </c>
      <c r="M286" s="8" t="s">
        <v>1811</v>
      </c>
      <c r="N286" s="8" t="s">
        <v>41</v>
      </c>
      <c r="O286" s="8" t="s">
        <v>42</v>
      </c>
      <c r="P286" s="6" t="s">
        <v>66</v>
      </c>
      <c r="Q286" s="8" t="s">
        <v>97</v>
      </c>
      <c r="R286" s="10" t="s">
        <v>1812</v>
      </c>
      <c r="S286" s="11" t="s">
        <v>1813</v>
      </c>
      <c r="T286" s="6"/>
      <c r="U286" s="28" t="str">
        <f>HYPERLINK("https://media.infra-m.ru/1085/1085282/cover/1085282.jpg", "Обложка")</f>
        <v>Обложка</v>
      </c>
      <c r="V286" s="28" t="str">
        <f>HYPERLINK("https://znanium.ru/catalog/product/959906", "Ознакомиться")</f>
        <v>Ознакомиться</v>
      </c>
      <c r="W286" s="8"/>
      <c r="X286" s="6"/>
      <c r="Y286" s="6"/>
      <c r="Z286" s="6"/>
      <c r="AA286" s="6" t="s">
        <v>89</v>
      </c>
    </row>
    <row r="287" spans="1:27" s="4" customFormat="1" ht="51.95" customHeight="1">
      <c r="A287" s="5">
        <v>0</v>
      </c>
      <c r="B287" s="6" t="s">
        <v>1814</v>
      </c>
      <c r="C287" s="7">
        <v>1940</v>
      </c>
      <c r="D287" s="8" t="s">
        <v>1815</v>
      </c>
      <c r="E287" s="8" t="s">
        <v>1816</v>
      </c>
      <c r="F287" s="8" t="s">
        <v>1817</v>
      </c>
      <c r="G287" s="6" t="s">
        <v>37</v>
      </c>
      <c r="H287" s="6" t="s">
        <v>38</v>
      </c>
      <c r="I287" s="8" t="s">
        <v>76</v>
      </c>
      <c r="J287" s="9">
        <v>1</v>
      </c>
      <c r="K287" s="9">
        <v>422</v>
      </c>
      <c r="L287" s="9">
        <v>2023</v>
      </c>
      <c r="M287" s="8" t="s">
        <v>1818</v>
      </c>
      <c r="N287" s="8" t="s">
        <v>41</v>
      </c>
      <c r="O287" s="8" t="s">
        <v>96</v>
      </c>
      <c r="P287" s="6" t="s">
        <v>66</v>
      </c>
      <c r="Q287" s="8" t="s">
        <v>67</v>
      </c>
      <c r="R287" s="10" t="s">
        <v>1819</v>
      </c>
      <c r="S287" s="11" t="s">
        <v>1820</v>
      </c>
      <c r="T287" s="6"/>
      <c r="U287" s="28" t="str">
        <f>HYPERLINK("https://media.infra-m.ru/0958/0958799/cover/958799.jpg", "Обложка")</f>
        <v>Обложка</v>
      </c>
      <c r="V287" s="28" t="str">
        <f>HYPERLINK("https://znanium.ru/catalog/product/958799", "Ознакомиться")</f>
        <v>Ознакомиться</v>
      </c>
      <c r="W287" s="8" t="s">
        <v>1821</v>
      </c>
      <c r="X287" s="6"/>
      <c r="Y287" s="6"/>
      <c r="Z287" s="6"/>
      <c r="AA287" s="6" t="s">
        <v>110</v>
      </c>
    </row>
    <row r="288" spans="1:27" s="4" customFormat="1" ht="51.95" customHeight="1">
      <c r="A288" s="5">
        <v>0</v>
      </c>
      <c r="B288" s="6" t="s">
        <v>1822</v>
      </c>
      <c r="C288" s="7">
        <v>1284.9000000000001</v>
      </c>
      <c r="D288" s="8" t="s">
        <v>1823</v>
      </c>
      <c r="E288" s="8" t="s">
        <v>1798</v>
      </c>
      <c r="F288" s="8" t="s">
        <v>1551</v>
      </c>
      <c r="G288" s="6" t="s">
        <v>75</v>
      </c>
      <c r="H288" s="6" t="s">
        <v>38</v>
      </c>
      <c r="I288" s="8" t="s">
        <v>94</v>
      </c>
      <c r="J288" s="9">
        <v>1</v>
      </c>
      <c r="K288" s="9">
        <v>286</v>
      </c>
      <c r="L288" s="9">
        <v>2023</v>
      </c>
      <c r="M288" s="8" t="s">
        <v>1824</v>
      </c>
      <c r="N288" s="8" t="s">
        <v>41</v>
      </c>
      <c r="O288" s="8" t="s">
        <v>96</v>
      </c>
      <c r="P288" s="6" t="s">
        <v>66</v>
      </c>
      <c r="Q288" s="8" t="s">
        <v>97</v>
      </c>
      <c r="R288" s="10" t="s">
        <v>1825</v>
      </c>
      <c r="S288" s="11" t="s">
        <v>1826</v>
      </c>
      <c r="T288" s="6"/>
      <c r="U288" s="28" t="str">
        <f>HYPERLINK("https://media.infra-m.ru/1981/1981586/cover/1981586.jpg", "Обложка")</f>
        <v>Обложка</v>
      </c>
      <c r="V288" s="28" t="str">
        <f>HYPERLINK("https://znanium.ru/catalog/product/1003842", "Ознакомиться")</f>
        <v>Ознакомиться</v>
      </c>
      <c r="W288" s="8" t="s">
        <v>1477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1827</v>
      </c>
      <c r="C289" s="7">
        <v>1990</v>
      </c>
      <c r="D289" s="8" t="s">
        <v>1828</v>
      </c>
      <c r="E289" s="8" t="s">
        <v>1829</v>
      </c>
      <c r="F289" s="8" t="s">
        <v>1830</v>
      </c>
      <c r="G289" s="6" t="s">
        <v>37</v>
      </c>
      <c r="H289" s="6" t="s">
        <v>38</v>
      </c>
      <c r="I289" s="8" t="s">
        <v>192</v>
      </c>
      <c r="J289" s="9">
        <v>1</v>
      </c>
      <c r="K289" s="9">
        <v>472</v>
      </c>
      <c r="L289" s="9">
        <v>2024</v>
      </c>
      <c r="M289" s="8" t="s">
        <v>1831</v>
      </c>
      <c r="N289" s="8" t="s">
        <v>41</v>
      </c>
      <c r="O289" s="8" t="s">
        <v>96</v>
      </c>
      <c r="P289" s="6" t="s">
        <v>78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HYPERLINK("https://media.infra-m.ru/2073/2073486/cover/2073486.jpg", "Обложка")</f>
        <v>Обложка</v>
      </c>
      <c r="V289" s="28" t="str">
        <f>HYPERLINK("https://znanium.ru/catalog/product/2073486", "Ознакомиться")</f>
        <v>Ознакомиться</v>
      </c>
      <c r="W289" s="8" t="s">
        <v>119</v>
      </c>
      <c r="X289" s="6"/>
      <c r="Y289" s="6"/>
      <c r="Z289" s="6"/>
      <c r="AA289" s="6" t="s">
        <v>89</v>
      </c>
    </row>
    <row r="290" spans="1:27" s="4" customFormat="1" ht="44.1" customHeight="1">
      <c r="A290" s="5">
        <v>0</v>
      </c>
      <c r="B290" s="6" t="s">
        <v>1834</v>
      </c>
      <c r="C290" s="13">
        <v>549.9</v>
      </c>
      <c r="D290" s="8" t="s">
        <v>1835</v>
      </c>
      <c r="E290" s="8" t="s">
        <v>1836</v>
      </c>
      <c r="F290" s="8" t="s">
        <v>1837</v>
      </c>
      <c r="G290" s="6" t="s">
        <v>1838</v>
      </c>
      <c r="H290" s="6" t="s">
        <v>64</v>
      </c>
      <c r="I290" s="8"/>
      <c r="J290" s="9">
        <v>12</v>
      </c>
      <c r="K290" s="9">
        <v>320</v>
      </c>
      <c r="L290" s="9">
        <v>2015</v>
      </c>
      <c r="M290" s="8" t="s">
        <v>1839</v>
      </c>
      <c r="N290" s="8" t="s">
        <v>41</v>
      </c>
      <c r="O290" s="8" t="s">
        <v>56</v>
      </c>
      <c r="P290" s="6" t="s">
        <v>43</v>
      </c>
      <c r="Q290" s="8" t="s">
        <v>471</v>
      </c>
      <c r="R290" s="10" t="s">
        <v>185</v>
      </c>
      <c r="S290" s="11"/>
      <c r="T290" s="6"/>
      <c r="U290" s="28" t="str">
        <f>HYPERLINK("https://media.infra-m.ru/0509/0509223/cover/509223.jpg", "Обложка")</f>
        <v>Обложка</v>
      </c>
      <c r="V290" s="28" t="str">
        <f>HYPERLINK("https://znanium.ru/catalog/product/405387", "Ознакомиться")</f>
        <v>Ознакомиться</v>
      </c>
      <c r="W290" s="8" t="s">
        <v>1840</v>
      </c>
      <c r="X290" s="6"/>
      <c r="Y290" s="6"/>
      <c r="Z290" s="6"/>
      <c r="AA290" s="6" t="s">
        <v>59</v>
      </c>
    </row>
    <row r="291" spans="1:27" s="4" customFormat="1" ht="51.95" customHeight="1">
      <c r="A291" s="5">
        <v>0</v>
      </c>
      <c r="B291" s="6" t="s">
        <v>1841</v>
      </c>
      <c r="C291" s="7">
        <v>1944.9</v>
      </c>
      <c r="D291" s="8" t="s">
        <v>1842</v>
      </c>
      <c r="E291" s="8" t="s">
        <v>1843</v>
      </c>
      <c r="F291" s="8" t="s">
        <v>1844</v>
      </c>
      <c r="G291" s="6" t="s">
        <v>37</v>
      </c>
      <c r="H291" s="6" t="s">
        <v>352</v>
      </c>
      <c r="I291" s="8"/>
      <c r="J291" s="9">
        <v>1</v>
      </c>
      <c r="K291" s="9">
        <v>512</v>
      </c>
      <c r="L291" s="9">
        <v>2022</v>
      </c>
      <c r="M291" s="8" t="s">
        <v>1845</v>
      </c>
      <c r="N291" s="8" t="s">
        <v>41</v>
      </c>
      <c r="O291" s="8" t="s">
        <v>96</v>
      </c>
      <c r="P291" s="6" t="s">
        <v>78</v>
      </c>
      <c r="Q291" s="8" t="s">
        <v>97</v>
      </c>
      <c r="R291" s="10" t="s">
        <v>828</v>
      </c>
      <c r="S291" s="11" t="s">
        <v>1846</v>
      </c>
      <c r="T291" s="6"/>
      <c r="U291" s="28" t="str">
        <f>HYPERLINK("https://media.infra-m.ru/1843/1843596/cover/1843596.jpg", "Обложка")</f>
        <v>Обложка</v>
      </c>
      <c r="V291" s="28" t="str">
        <f>HYPERLINK("https://znanium.ru/catalog/product/1843596", "Ознакомиться")</f>
        <v>Ознакомиться</v>
      </c>
      <c r="W291" s="8" t="s">
        <v>1847</v>
      </c>
      <c r="X291" s="6"/>
      <c r="Y291" s="6"/>
      <c r="Z291" s="6"/>
      <c r="AA291" s="6" t="s">
        <v>258</v>
      </c>
    </row>
    <row r="292" spans="1:27" s="4" customFormat="1" ht="51.95" customHeight="1">
      <c r="A292" s="5">
        <v>0</v>
      </c>
      <c r="B292" s="6" t="s">
        <v>1848</v>
      </c>
      <c r="C292" s="7">
        <v>1494</v>
      </c>
      <c r="D292" s="8" t="s">
        <v>1849</v>
      </c>
      <c r="E292" s="8" t="s">
        <v>1850</v>
      </c>
      <c r="F292" s="8" t="s">
        <v>1851</v>
      </c>
      <c r="G292" s="6" t="s">
        <v>75</v>
      </c>
      <c r="H292" s="6" t="s">
        <v>38</v>
      </c>
      <c r="I292" s="8" t="s">
        <v>94</v>
      </c>
      <c r="J292" s="9">
        <v>1</v>
      </c>
      <c r="K292" s="9">
        <v>332</v>
      </c>
      <c r="L292" s="9">
        <v>2023</v>
      </c>
      <c r="M292" s="8" t="s">
        <v>1852</v>
      </c>
      <c r="N292" s="8" t="s">
        <v>41</v>
      </c>
      <c r="O292" s="8" t="s">
        <v>96</v>
      </c>
      <c r="P292" s="6" t="s">
        <v>66</v>
      </c>
      <c r="Q292" s="8" t="s">
        <v>97</v>
      </c>
      <c r="R292" s="10" t="s">
        <v>1853</v>
      </c>
      <c r="S292" s="11" t="s">
        <v>1854</v>
      </c>
      <c r="T292" s="6"/>
      <c r="U292" s="28" t="str">
        <f>HYPERLINK("https://media.infra-m.ru/2045/2045828/cover/2045828.jpg", "Обложка")</f>
        <v>Обложка</v>
      </c>
      <c r="V292" s="28" t="str">
        <f>HYPERLINK("https://znanium.ru/catalog/product/1007033", "Ознакомиться")</f>
        <v>Ознакомиться</v>
      </c>
      <c r="W292" s="8" t="s">
        <v>1855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1856</v>
      </c>
      <c r="C293" s="13">
        <v>880</v>
      </c>
      <c r="D293" s="8" t="s">
        <v>1857</v>
      </c>
      <c r="E293" s="8" t="s">
        <v>1858</v>
      </c>
      <c r="F293" s="8" t="s">
        <v>1859</v>
      </c>
      <c r="G293" s="6" t="s">
        <v>53</v>
      </c>
      <c r="H293" s="6" t="s">
        <v>38</v>
      </c>
      <c r="I293" s="8" t="s">
        <v>76</v>
      </c>
      <c r="J293" s="9">
        <v>1</v>
      </c>
      <c r="K293" s="9">
        <v>196</v>
      </c>
      <c r="L293" s="9">
        <v>2023</v>
      </c>
      <c r="M293" s="8" t="s">
        <v>1860</v>
      </c>
      <c r="N293" s="8" t="s">
        <v>41</v>
      </c>
      <c r="O293" s="8" t="s">
        <v>42</v>
      </c>
      <c r="P293" s="6" t="s">
        <v>66</v>
      </c>
      <c r="Q293" s="8" t="s">
        <v>67</v>
      </c>
      <c r="R293" s="10" t="s">
        <v>1861</v>
      </c>
      <c r="S293" s="11" t="s">
        <v>1862</v>
      </c>
      <c r="T293" s="6"/>
      <c r="U293" s="28" t="str">
        <f>HYPERLINK("https://media.infra-m.ru/1920/1920336/cover/1920336.jpg", "Обложка")</f>
        <v>Обложка</v>
      </c>
      <c r="V293" s="28" t="str">
        <f>HYPERLINK("https://znanium.ru/catalog/product/1920336", "Ознакомиться")</f>
        <v>Ознакомиться</v>
      </c>
      <c r="W293" s="8" t="s">
        <v>1786</v>
      </c>
      <c r="X293" s="6"/>
      <c r="Y293" s="6"/>
      <c r="Z293" s="6"/>
      <c r="AA293" s="6" t="s">
        <v>321</v>
      </c>
    </row>
    <row r="294" spans="1:27" s="4" customFormat="1" ht="51.95" customHeight="1">
      <c r="A294" s="5">
        <v>0</v>
      </c>
      <c r="B294" s="6" t="s">
        <v>1863</v>
      </c>
      <c r="C294" s="7">
        <v>1490</v>
      </c>
      <c r="D294" s="8" t="s">
        <v>1864</v>
      </c>
      <c r="E294" s="8" t="s">
        <v>1865</v>
      </c>
      <c r="F294" s="8" t="s">
        <v>1866</v>
      </c>
      <c r="G294" s="6" t="s">
        <v>75</v>
      </c>
      <c r="H294" s="6" t="s">
        <v>54</v>
      </c>
      <c r="I294" s="8" t="s">
        <v>1867</v>
      </c>
      <c r="J294" s="9">
        <v>1</v>
      </c>
      <c r="K294" s="9">
        <v>318</v>
      </c>
      <c r="L294" s="9">
        <v>2023</v>
      </c>
      <c r="M294" s="8" t="s">
        <v>1868</v>
      </c>
      <c r="N294" s="8" t="s">
        <v>41</v>
      </c>
      <c r="O294" s="8" t="s">
        <v>42</v>
      </c>
      <c r="P294" s="6" t="s">
        <v>1869</v>
      </c>
      <c r="Q294" s="8" t="s">
        <v>44</v>
      </c>
      <c r="R294" s="10" t="s">
        <v>1870</v>
      </c>
      <c r="S294" s="11"/>
      <c r="T294" s="6"/>
      <c r="U294" s="28" t="str">
        <f>HYPERLINK("https://media.infra-m.ru/1876/1876805/cover/1876805.jpg", "Обложка")</f>
        <v>Обложка</v>
      </c>
      <c r="V294" s="28" t="str">
        <f>HYPERLINK("https://znanium.ru/catalog/product/1876805", "Ознакомиться")</f>
        <v>Ознакомиться</v>
      </c>
      <c r="W294" s="8"/>
      <c r="X294" s="6"/>
      <c r="Y294" s="6"/>
      <c r="Z294" s="6"/>
      <c r="AA294" s="6" t="s">
        <v>134</v>
      </c>
    </row>
    <row r="295" spans="1:27" s="4" customFormat="1" ht="51.95" customHeight="1">
      <c r="A295" s="5">
        <v>0</v>
      </c>
      <c r="B295" s="6" t="s">
        <v>1871</v>
      </c>
      <c r="C295" s="7">
        <v>1094.9000000000001</v>
      </c>
      <c r="D295" s="8" t="s">
        <v>1872</v>
      </c>
      <c r="E295" s="8" t="s">
        <v>1873</v>
      </c>
      <c r="F295" s="8" t="s">
        <v>546</v>
      </c>
      <c r="G295" s="6" t="s">
        <v>37</v>
      </c>
      <c r="H295" s="6" t="s">
        <v>132</v>
      </c>
      <c r="I295" s="8"/>
      <c r="J295" s="9">
        <v>1</v>
      </c>
      <c r="K295" s="9">
        <v>287</v>
      </c>
      <c r="L295" s="9">
        <v>2022</v>
      </c>
      <c r="M295" s="8" t="s">
        <v>1874</v>
      </c>
      <c r="N295" s="8" t="s">
        <v>41</v>
      </c>
      <c r="O295" s="8" t="s">
        <v>42</v>
      </c>
      <c r="P295" s="6" t="s">
        <v>66</v>
      </c>
      <c r="Q295" s="8" t="s">
        <v>97</v>
      </c>
      <c r="R295" s="10" t="s">
        <v>558</v>
      </c>
      <c r="S295" s="11" t="s">
        <v>1875</v>
      </c>
      <c r="T295" s="6"/>
      <c r="U295" s="28" t="str">
        <f>HYPERLINK("https://media.infra-m.ru/1853/1853928/cover/1853928.jpg", "Обложка")</f>
        <v>Обложка</v>
      </c>
      <c r="V295" s="28" t="str">
        <f>HYPERLINK("https://znanium.ru/catalog/product/1000116", "Ознакомиться")</f>
        <v>Ознакомиться</v>
      </c>
      <c r="W295" s="8" t="s">
        <v>549</v>
      </c>
      <c r="X295" s="6"/>
      <c r="Y295" s="6"/>
      <c r="Z295" s="6"/>
      <c r="AA295" s="6" t="s">
        <v>89</v>
      </c>
    </row>
    <row r="296" spans="1:27" s="4" customFormat="1" ht="42" customHeight="1">
      <c r="A296" s="5">
        <v>0</v>
      </c>
      <c r="B296" s="6" t="s">
        <v>1876</v>
      </c>
      <c r="C296" s="7">
        <v>1054</v>
      </c>
      <c r="D296" s="8" t="s">
        <v>1877</v>
      </c>
      <c r="E296" s="8" t="s">
        <v>1878</v>
      </c>
      <c r="F296" s="8" t="s">
        <v>552</v>
      </c>
      <c r="G296" s="6" t="s">
        <v>53</v>
      </c>
      <c r="H296" s="6" t="s">
        <v>132</v>
      </c>
      <c r="I296" s="8"/>
      <c r="J296" s="9">
        <v>1</v>
      </c>
      <c r="K296" s="9">
        <v>228</v>
      </c>
      <c r="L296" s="9">
        <v>2024</v>
      </c>
      <c r="M296" s="8" t="s">
        <v>1879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234</v>
      </c>
      <c r="S296" s="11"/>
      <c r="T296" s="6"/>
      <c r="U296" s="28" t="str">
        <f>HYPERLINK("https://media.infra-m.ru/2053/2053253/cover/2053253.jpg", "Обложка")</f>
        <v>Обложка</v>
      </c>
      <c r="V296" s="28" t="str">
        <f>HYPERLINK("https://znanium.ru/catalog/product/1836580", "Ознакомиться")</f>
        <v>Ознакомиться</v>
      </c>
      <c r="W296" s="8" t="s">
        <v>549</v>
      </c>
      <c r="X296" s="6"/>
      <c r="Y296" s="6"/>
      <c r="Z296" s="6"/>
      <c r="AA296" s="6" t="s">
        <v>993</v>
      </c>
    </row>
    <row r="297" spans="1:27" s="4" customFormat="1" ht="42" customHeight="1">
      <c r="A297" s="5">
        <v>0</v>
      </c>
      <c r="B297" s="6" t="s">
        <v>1880</v>
      </c>
      <c r="C297" s="13">
        <v>980</v>
      </c>
      <c r="D297" s="8" t="s">
        <v>1881</v>
      </c>
      <c r="E297" s="8" t="s">
        <v>1882</v>
      </c>
      <c r="F297" s="8" t="s">
        <v>1883</v>
      </c>
      <c r="G297" s="6" t="s">
        <v>37</v>
      </c>
      <c r="H297" s="6" t="s">
        <v>38</v>
      </c>
      <c r="I297" s="8" t="s">
        <v>192</v>
      </c>
      <c r="J297" s="9">
        <v>1</v>
      </c>
      <c r="K297" s="9">
        <v>194</v>
      </c>
      <c r="L297" s="9">
        <v>2024</v>
      </c>
      <c r="M297" s="8" t="s">
        <v>1884</v>
      </c>
      <c r="N297" s="8" t="s">
        <v>41</v>
      </c>
      <c r="O297" s="8" t="s">
        <v>42</v>
      </c>
      <c r="P297" s="6" t="s">
        <v>66</v>
      </c>
      <c r="Q297" s="8" t="s">
        <v>141</v>
      </c>
      <c r="R297" s="10" t="s">
        <v>1885</v>
      </c>
      <c r="S297" s="11"/>
      <c r="T297" s="6"/>
      <c r="U297" s="28" t="str">
        <f>HYPERLINK("https://media.infra-m.ru/2010/2010446/cover/2010446.jpg", "Обложка")</f>
        <v>Обложка</v>
      </c>
      <c r="V297" s="28" t="str">
        <f>HYPERLINK("https://znanium.ru/catalog/product/2010446", "Ознакомиться")</f>
        <v>Ознакомиться</v>
      </c>
      <c r="W297" s="8" t="s">
        <v>835</v>
      </c>
      <c r="X297" s="6" t="s">
        <v>1644</v>
      </c>
      <c r="Y297" s="6"/>
      <c r="Z297" s="6"/>
      <c r="AA297" s="6" t="s">
        <v>48</v>
      </c>
    </row>
    <row r="298" spans="1:27" s="4" customFormat="1" ht="51.95" customHeight="1">
      <c r="A298" s="5">
        <v>0</v>
      </c>
      <c r="B298" s="6" t="s">
        <v>1886</v>
      </c>
      <c r="C298" s="13">
        <v>640</v>
      </c>
      <c r="D298" s="8" t="s">
        <v>1887</v>
      </c>
      <c r="E298" s="8" t="s">
        <v>1888</v>
      </c>
      <c r="F298" s="8" t="s">
        <v>1889</v>
      </c>
      <c r="G298" s="6" t="s">
        <v>53</v>
      </c>
      <c r="H298" s="6" t="s">
        <v>38</v>
      </c>
      <c r="I298" s="8" t="s">
        <v>39</v>
      </c>
      <c r="J298" s="9">
        <v>1</v>
      </c>
      <c r="K298" s="9">
        <v>172</v>
      </c>
      <c r="L298" s="9">
        <v>2021</v>
      </c>
      <c r="M298" s="8" t="s">
        <v>1890</v>
      </c>
      <c r="N298" s="8" t="s">
        <v>41</v>
      </c>
      <c r="O298" s="8" t="s">
        <v>96</v>
      </c>
      <c r="P298" s="6" t="s">
        <v>43</v>
      </c>
      <c r="Q298" s="8" t="s">
        <v>44</v>
      </c>
      <c r="R298" s="10" t="s">
        <v>1891</v>
      </c>
      <c r="S298" s="11"/>
      <c r="T298" s="6"/>
      <c r="U298" s="28" t="str">
        <f>HYPERLINK("https://media.infra-m.ru/1223/1223199/cover/1223199.jpg", "Обложка")</f>
        <v>Обложка</v>
      </c>
      <c r="V298" s="28" t="str">
        <f>HYPERLINK("https://znanium.ru/catalog/product/1223199", "Ознакомиться")</f>
        <v>Ознакомиться</v>
      </c>
      <c r="W298" s="8" t="s">
        <v>1169</v>
      </c>
      <c r="X298" s="6"/>
      <c r="Y298" s="6"/>
      <c r="Z298" s="6"/>
      <c r="AA298" s="6" t="s">
        <v>613</v>
      </c>
    </row>
    <row r="299" spans="1:27" s="4" customFormat="1" ht="51.95" customHeight="1">
      <c r="A299" s="5">
        <v>0</v>
      </c>
      <c r="B299" s="6" t="s">
        <v>1892</v>
      </c>
      <c r="C299" s="13">
        <v>990</v>
      </c>
      <c r="D299" s="8" t="s">
        <v>1893</v>
      </c>
      <c r="E299" s="8" t="s">
        <v>1894</v>
      </c>
      <c r="F299" s="8" t="s">
        <v>1895</v>
      </c>
      <c r="G299" s="6" t="s">
        <v>75</v>
      </c>
      <c r="H299" s="6" t="s">
        <v>38</v>
      </c>
      <c r="I299" s="8" t="s">
        <v>139</v>
      </c>
      <c r="J299" s="9">
        <v>1</v>
      </c>
      <c r="K299" s="9">
        <v>212</v>
      </c>
      <c r="L299" s="9">
        <v>2023</v>
      </c>
      <c r="M299" s="8" t="s">
        <v>1896</v>
      </c>
      <c r="N299" s="8" t="s">
        <v>1897</v>
      </c>
      <c r="O299" s="8" t="s">
        <v>1898</v>
      </c>
      <c r="P299" s="6" t="s">
        <v>66</v>
      </c>
      <c r="Q299" s="8" t="s">
        <v>97</v>
      </c>
      <c r="R299" s="10" t="s">
        <v>378</v>
      </c>
      <c r="S299" s="11" t="s">
        <v>1899</v>
      </c>
      <c r="T299" s="6"/>
      <c r="U299" s="28" t="str">
        <f>HYPERLINK("https://media.infra-m.ru/2049/2049703/cover/2049703.jpg", "Обложка")</f>
        <v>Обложка</v>
      </c>
      <c r="V299" s="28" t="str">
        <f>HYPERLINK("https://znanium.ru/catalog/product/2049703", "Ознакомиться")</f>
        <v>Ознакомиться</v>
      </c>
      <c r="W299" s="8" t="s">
        <v>119</v>
      </c>
      <c r="X299" s="6"/>
      <c r="Y299" s="6"/>
      <c r="Z299" s="6"/>
      <c r="AA299" s="6" t="s">
        <v>70</v>
      </c>
    </row>
    <row r="300" spans="1:27" s="4" customFormat="1" ht="51.95" customHeight="1">
      <c r="A300" s="5">
        <v>0</v>
      </c>
      <c r="B300" s="6" t="s">
        <v>1900</v>
      </c>
      <c r="C300" s="13">
        <v>854.9</v>
      </c>
      <c r="D300" s="8" t="s">
        <v>1901</v>
      </c>
      <c r="E300" s="8" t="s">
        <v>1902</v>
      </c>
      <c r="F300" s="8" t="s">
        <v>1903</v>
      </c>
      <c r="G300" s="6" t="s">
        <v>75</v>
      </c>
      <c r="H300" s="6" t="s">
        <v>38</v>
      </c>
      <c r="I300" s="8" t="s">
        <v>94</v>
      </c>
      <c r="J300" s="9">
        <v>1</v>
      </c>
      <c r="K300" s="9">
        <v>190</v>
      </c>
      <c r="L300" s="9">
        <v>2023</v>
      </c>
      <c r="M300" s="8" t="s">
        <v>1904</v>
      </c>
      <c r="N300" s="8" t="s">
        <v>41</v>
      </c>
      <c r="O300" s="8" t="s">
        <v>42</v>
      </c>
      <c r="P300" s="6" t="s">
        <v>78</v>
      </c>
      <c r="Q300" s="8" t="s">
        <v>97</v>
      </c>
      <c r="R300" s="10" t="s">
        <v>1905</v>
      </c>
      <c r="S300" s="11" t="s">
        <v>1906</v>
      </c>
      <c r="T300" s="6"/>
      <c r="U300" s="28" t="str">
        <f>HYPERLINK("https://media.infra-m.ru/1897/1897692/cover/1897692.jpg", "Обложка")</f>
        <v>Обложка</v>
      </c>
      <c r="V300" s="28" t="str">
        <f>HYPERLINK("https://znanium.ru/catalog/product/1897692", "Ознакомиться")</f>
        <v>Ознакомиться</v>
      </c>
      <c r="W300" s="8" t="s">
        <v>1907</v>
      </c>
      <c r="X300" s="6"/>
      <c r="Y300" s="6"/>
      <c r="Z300" s="6"/>
      <c r="AA300" s="6" t="s">
        <v>173</v>
      </c>
    </row>
    <row r="301" spans="1:27" s="4" customFormat="1" ht="42" customHeight="1">
      <c r="A301" s="5">
        <v>0</v>
      </c>
      <c r="B301" s="6" t="s">
        <v>1908</v>
      </c>
      <c r="C301" s="13">
        <v>330</v>
      </c>
      <c r="D301" s="8" t="s">
        <v>1909</v>
      </c>
      <c r="E301" s="8" t="s">
        <v>1910</v>
      </c>
      <c r="F301" s="8" t="s">
        <v>1790</v>
      </c>
      <c r="G301" s="6" t="s">
        <v>53</v>
      </c>
      <c r="H301" s="6" t="s">
        <v>54</v>
      </c>
      <c r="I301" s="8" t="s">
        <v>334</v>
      </c>
      <c r="J301" s="9">
        <v>1</v>
      </c>
      <c r="K301" s="9">
        <v>96</v>
      </c>
      <c r="L301" s="9">
        <v>2019</v>
      </c>
      <c r="M301" s="8" t="s">
        <v>1911</v>
      </c>
      <c r="N301" s="8" t="s">
        <v>41</v>
      </c>
      <c r="O301" s="8" t="s">
        <v>42</v>
      </c>
      <c r="P301" s="6" t="s">
        <v>66</v>
      </c>
      <c r="Q301" s="8" t="s">
        <v>97</v>
      </c>
      <c r="R301" s="10" t="s">
        <v>107</v>
      </c>
      <c r="S301" s="11"/>
      <c r="T301" s="6" t="s">
        <v>151</v>
      </c>
      <c r="U301" s="28" t="str">
        <f>HYPERLINK("https://media.infra-m.ru/1020/1020208/cover/1020208.jpg", "Обложка")</f>
        <v>Обложка</v>
      </c>
      <c r="V301" s="28" t="str">
        <f>HYPERLINK("https://znanium.ru/catalog/product/1020208", "Ознакомиться")</f>
        <v>Ознакомиться</v>
      </c>
      <c r="W301" s="8" t="s">
        <v>119</v>
      </c>
      <c r="X301" s="6"/>
      <c r="Y301" s="6"/>
      <c r="Z301" s="6"/>
      <c r="AA301" s="6" t="s">
        <v>213</v>
      </c>
    </row>
    <row r="302" spans="1:27" s="4" customFormat="1" ht="51.95" customHeight="1">
      <c r="A302" s="5">
        <v>0</v>
      </c>
      <c r="B302" s="6" t="s">
        <v>1912</v>
      </c>
      <c r="C302" s="13">
        <v>610</v>
      </c>
      <c r="D302" s="8" t="s">
        <v>1913</v>
      </c>
      <c r="E302" s="8" t="s">
        <v>1914</v>
      </c>
      <c r="F302" s="8" t="s">
        <v>1915</v>
      </c>
      <c r="G302" s="6" t="s">
        <v>53</v>
      </c>
      <c r="H302" s="6" t="s">
        <v>64</v>
      </c>
      <c r="I302" s="8"/>
      <c r="J302" s="9">
        <v>1</v>
      </c>
      <c r="K302" s="9">
        <v>128</v>
      </c>
      <c r="L302" s="9">
        <v>2024</v>
      </c>
      <c r="M302" s="8" t="s">
        <v>1916</v>
      </c>
      <c r="N302" s="8" t="s">
        <v>41</v>
      </c>
      <c r="O302" s="8" t="s">
        <v>56</v>
      </c>
      <c r="P302" s="6" t="s">
        <v>66</v>
      </c>
      <c r="Q302" s="8" t="s">
        <v>67</v>
      </c>
      <c r="R302" s="10" t="s">
        <v>1917</v>
      </c>
      <c r="S302" s="11"/>
      <c r="T302" s="6"/>
      <c r="U302" s="28" t="str">
        <f>HYPERLINK("https://media.infra-m.ru/2141/2141042/cover/2141042.jpg", "Обложка")</f>
        <v>Обложка</v>
      </c>
      <c r="V302" s="28" t="str">
        <f>HYPERLINK("https://znanium.ru/catalog/product/2141042", "Ознакомиться")</f>
        <v>Ознакомиться</v>
      </c>
      <c r="W302" s="8" t="s">
        <v>69</v>
      </c>
      <c r="X302" s="6"/>
      <c r="Y302" s="6"/>
      <c r="Z302" s="6"/>
      <c r="AA302" s="6" t="s">
        <v>82</v>
      </c>
    </row>
    <row r="303" spans="1:27" s="4" customFormat="1" ht="51.95" customHeight="1">
      <c r="A303" s="5">
        <v>0</v>
      </c>
      <c r="B303" s="6" t="s">
        <v>1918</v>
      </c>
      <c r="C303" s="7">
        <v>1334.9</v>
      </c>
      <c r="D303" s="8" t="s">
        <v>1919</v>
      </c>
      <c r="E303" s="8" t="s">
        <v>1920</v>
      </c>
      <c r="F303" s="8" t="s">
        <v>1921</v>
      </c>
      <c r="G303" s="6" t="s">
        <v>75</v>
      </c>
      <c r="H303" s="6" t="s">
        <v>38</v>
      </c>
      <c r="I303" s="8" t="s">
        <v>1922</v>
      </c>
      <c r="J303" s="9">
        <v>1</v>
      </c>
      <c r="K303" s="9">
        <v>351</v>
      </c>
      <c r="L303" s="9">
        <v>2022</v>
      </c>
      <c r="M303" s="8" t="s">
        <v>1923</v>
      </c>
      <c r="N303" s="8" t="s">
        <v>41</v>
      </c>
      <c r="O303" s="8" t="s">
        <v>42</v>
      </c>
      <c r="P303" s="6" t="s">
        <v>78</v>
      </c>
      <c r="Q303" s="8" t="s">
        <v>67</v>
      </c>
      <c r="R303" s="10" t="s">
        <v>1924</v>
      </c>
      <c r="S303" s="11" t="s">
        <v>1925</v>
      </c>
      <c r="T303" s="6"/>
      <c r="U303" s="28" t="str">
        <f>HYPERLINK("https://media.infra-m.ru/1832/1832128/cover/1832128.jpg", "Обложка")</f>
        <v>Обложка</v>
      </c>
      <c r="V303" s="28" t="str">
        <f>HYPERLINK("https://znanium.ru/catalog/product/1832128", "Ознакомиться")</f>
        <v>Ознакомиться</v>
      </c>
      <c r="W303" s="8" t="s">
        <v>1354</v>
      </c>
      <c r="X303" s="6"/>
      <c r="Y303" s="6"/>
      <c r="Z303" s="6"/>
      <c r="AA303" s="6" t="s">
        <v>847</v>
      </c>
    </row>
    <row r="304" spans="1:27" s="4" customFormat="1" ht="51.95" customHeight="1">
      <c r="A304" s="5">
        <v>0</v>
      </c>
      <c r="B304" s="6" t="s">
        <v>1926</v>
      </c>
      <c r="C304" s="7">
        <v>1974.9</v>
      </c>
      <c r="D304" s="8" t="s">
        <v>1927</v>
      </c>
      <c r="E304" s="8" t="s">
        <v>1928</v>
      </c>
      <c r="F304" s="8" t="s">
        <v>1929</v>
      </c>
      <c r="G304" s="6" t="s">
        <v>37</v>
      </c>
      <c r="H304" s="6" t="s">
        <v>352</v>
      </c>
      <c r="I304" s="8"/>
      <c r="J304" s="9">
        <v>1</v>
      </c>
      <c r="K304" s="9">
        <v>704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97</v>
      </c>
      <c r="R304" s="10" t="s">
        <v>234</v>
      </c>
      <c r="S304" s="11" t="s">
        <v>1931</v>
      </c>
      <c r="T304" s="6"/>
      <c r="U304" s="28" t="str">
        <f>HYPERLINK("https://media.infra-m.ru/1840/1840486/cover/1840486.jpg", "Обложка")</f>
        <v>Обложка</v>
      </c>
      <c r="V304" s="28" t="str">
        <f>HYPERLINK("https://znanium.ru/catalog/product/2078406", "Ознакомиться")</f>
        <v>Ознакомиться</v>
      </c>
      <c r="W304" s="8" t="s">
        <v>275</v>
      </c>
      <c r="X304" s="6"/>
      <c r="Y304" s="6"/>
      <c r="Z304" s="6"/>
      <c r="AA304" s="6" t="s">
        <v>1932</v>
      </c>
    </row>
    <row r="305" spans="1:27" s="4" customFormat="1" ht="42" customHeight="1">
      <c r="A305" s="5">
        <v>0</v>
      </c>
      <c r="B305" s="6" t="s">
        <v>1933</v>
      </c>
      <c r="C305" s="13">
        <v>760</v>
      </c>
      <c r="D305" s="8" t="s">
        <v>1934</v>
      </c>
      <c r="E305" s="8" t="s">
        <v>1935</v>
      </c>
      <c r="F305" s="8" t="s">
        <v>1903</v>
      </c>
      <c r="G305" s="6" t="s">
        <v>75</v>
      </c>
      <c r="H305" s="6" t="s">
        <v>38</v>
      </c>
      <c r="I305" s="8" t="s">
        <v>39</v>
      </c>
      <c r="J305" s="9">
        <v>1</v>
      </c>
      <c r="K305" s="9">
        <v>169</v>
      </c>
      <c r="L305" s="9">
        <v>2023</v>
      </c>
      <c r="M305" s="8" t="s">
        <v>1936</v>
      </c>
      <c r="N305" s="8" t="s">
        <v>41</v>
      </c>
      <c r="O305" s="8" t="s">
        <v>42</v>
      </c>
      <c r="P305" s="6" t="s">
        <v>43</v>
      </c>
      <c r="Q305" s="8" t="s">
        <v>44</v>
      </c>
      <c r="R305" s="10" t="s">
        <v>107</v>
      </c>
      <c r="S305" s="11"/>
      <c r="T305" s="6"/>
      <c r="U305" s="28" t="str">
        <f>HYPERLINK("https://media.infra-m.ru/1898/1898977/cover/1898977.jpg", "Обложка")</f>
        <v>Обложка</v>
      </c>
      <c r="V305" s="28" t="str">
        <f>HYPERLINK("https://znanium.ru/catalog/product/1898977", "Ознакомиться")</f>
        <v>Ознакомиться</v>
      </c>
      <c r="W305" s="8" t="s">
        <v>1907</v>
      </c>
      <c r="X305" s="6"/>
      <c r="Y305" s="6"/>
      <c r="Z305" s="6"/>
      <c r="AA305" s="6" t="s">
        <v>82</v>
      </c>
    </row>
    <row r="306" spans="1:27" s="4" customFormat="1" ht="51.95" customHeight="1">
      <c r="A306" s="5">
        <v>0</v>
      </c>
      <c r="B306" s="6" t="s">
        <v>1937</v>
      </c>
      <c r="C306" s="7">
        <v>1020</v>
      </c>
      <c r="D306" s="8" t="s">
        <v>1938</v>
      </c>
      <c r="E306" s="8" t="s">
        <v>1939</v>
      </c>
      <c r="F306" s="8" t="s">
        <v>1940</v>
      </c>
      <c r="G306" s="6" t="s">
        <v>75</v>
      </c>
      <c r="H306" s="6" t="s">
        <v>132</v>
      </c>
      <c r="I306" s="8"/>
      <c r="J306" s="9">
        <v>1</v>
      </c>
      <c r="K306" s="9">
        <v>215</v>
      </c>
      <c r="L306" s="9">
        <v>2024</v>
      </c>
      <c r="M306" s="8" t="s">
        <v>1941</v>
      </c>
      <c r="N306" s="8" t="s">
        <v>41</v>
      </c>
      <c r="O306" s="8" t="s">
        <v>42</v>
      </c>
      <c r="P306" s="6" t="s">
        <v>66</v>
      </c>
      <c r="Q306" s="8" t="s">
        <v>67</v>
      </c>
      <c r="R306" s="10" t="s">
        <v>1942</v>
      </c>
      <c r="S306" s="11"/>
      <c r="T306" s="6"/>
      <c r="U306" s="28" t="str">
        <f>HYPERLINK("https://media.infra-m.ru/2136/2136561/cover/2136561.jpg", "Обложка")</f>
        <v>Обложка</v>
      </c>
      <c r="V306" s="28" t="str">
        <f>HYPERLINK("https://znanium.ru/catalog/product/2136561", "Ознакомиться")</f>
        <v>Ознакомиться</v>
      </c>
      <c r="W306" s="8" t="s">
        <v>1943</v>
      </c>
      <c r="X306" s="6"/>
      <c r="Y306" s="6"/>
      <c r="Z306" s="6"/>
      <c r="AA306" s="6" t="s">
        <v>213</v>
      </c>
    </row>
    <row r="307" spans="1:27" s="4" customFormat="1" ht="51.95" customHeight="1">
      <c r="A307" s="5">
        <v>0</v>
      </c>
      <c r="B307" s="6" t="s">
        <v>1944</v>
      </c>
      <c r="C307" s="7">
        <v>2150</v>
      </c>
      <c r="D307" s="8" t="s">
        <v>1945</v>
      </c>
      <c r="E307" s="8" t="s">
        <v>1946</v>
      </c>
      <c r="F307" s="8" t="s">
        <v>971</v>
      </c>
      <c r="G307" s="6" t="s">
        <v>37</v>
      </c>
      <c r="H307" s="6" t="s">
        <v>38</v>
      </c>
      <c r="I307" s="8" t="s">
        <v>192</v>
      </c>
      <c r="J307" s="9">
        <v>1</v>
      </c>
      <c r="K307" s="9">
        <v>456</v>
      </c>
      <c r="L307" s="9">
        <v>2024</v>
      </c>
      <c r="M307" s="8" t="s">
        <v>1947</v>
      </c>
      <c r="N307" s="8" t="s">
        <v>41</v>
      </c>
      <c r="O307" s="8" t="s">
        <v>42</v>
      </c>
      <c r="P307" s="6" t="s">
        <v>78</v>
      </c>
      <c r="Q307" s="8" t="s">
        <v>97</v>
      </c>
      <c r="R307" s="10" t="s">
        <v>234</v>
      </c>
      <c r="S307" s="11" t="s">
        <v>1948</v>
      </c>
      <c r="T307" s="6"/>
      <c r="U307" s="28" t="str">
        <f>HYPERLINK("https://media.infra-m.ru/2144/2144216/cover/2144216.jpg", "Обложка")</f>
        <v>Обложка</v>
      </c>
      <c r="V307" s="28" t="str">
        <f>HYPERLINK("https://znanium.ru/catalog/product/2144216", "Ознакомиться")</f>
        <v>Ознакомиться</v>
      </c>
      <c r="W307" s="8" t="s">
        <v>975</v>
      </c>
      <c r="X307" s="6"/>
      <c r="Y307" s="6"/>
      <c r="Z307" s="6"/>
      <c r="AA307" s="6" t="s">
        <v>405</v>
      </c>
    </row>
    <row r="308" spans="1:27" s="4" customFormat="1" ht="51.95" customHeight="1">
      <c r="A308" s="5">
        <v>0</v>
      </c>
      <c r="B308" s="6" t="s">
        <v>1949</v>
      </c>
      <c r="C308" s="7">
        <v>1404</v>
      </c>
      <c r="D308" s="8" t="s">
        <v>1950</v>
      </c>
      <c r="E308" s="8" t="s">
        <v>1951</v>
      </c>
      <c r="F308" s="8" t="s">
        <v>1952</v>
      </c>
      <c r="G308" s="6" t="s">
        <v>37</v>
      </c>
      <c r="H308" s="6" t="s">
        <v>333</v>
      </c>
      <c r="I308" s="8" t="s">
        <v>192</v>
      </c>
      <c r="J308" s="9">
        <v>1</v>
      </c>
      <c r="K308" s="9">
        <v>304</v>
      </c>
      <c r="L308" s="9">
        <v>2024</v>
      </c>
      <c r="M308" s="8" t="s">
        <v>1953</v>
      </c>
      <c r="N308" s="8" t="s">
        <v>41</v>
      </c>
      <c r="O308" s="8" t="s">
        <v>42</v>
      </c>
      <c r="P308" s="6" t="s">
        <v>66</v>
      </c>
      <c r="Q308" s="8" t="s">
        <v>97</v>
      </c>
      <c r="R308" s="10" t="s">
        <v>558</v>
      </c>
      <c r="S308" s="11" t="s">
        <v>158</v>
      </c>
      <c r="T308" s="6"/>
      <c r="U308" s="28" t="str">
        <f>HYPERLINK("https://media.infra-m.ru/2056/2056633/cover/2056633.jpg", "Обложка")</f>
        <v>Обложка</v>
      </c>
      <c r="V308" s="28" t="str">
        <f>HYPERLINK("https://znanium.ru/catalog/product/972166", "Ознакомиться")</f>
        <v>Ознакомиться</v>
      </c>
      <c r="W308" s="8" t="s">
        <v>1954</v>
      </c>
      <c r="X308" s="6"/>
      <c r="Y308" s="6"/>
      <c r="Z308" s="6"/>
      <c r="AA308" s="6" t="s">
        <v>312</v>
      </c>
    </row>
    <row r="309" spans="1:27" s="4" customFormat="1" ht="44.1" customHeight="1">
      <c r="A309" s="5">
        <v>0</v>
      </c>
      <c r="B309" s="6" t="s">
        <v>1955</v>
      </c>
      <c r="C309" s="13">
        <v>790</v>
      </c>
      <c r="D309" s="8" t="s">
        <v>1956</v>
      </c>
      <c r="E309" s="8" t="s">
        <v>1951</v>
      </c>
      <c r="F309" s="8" t="s">
        <v>1957</v>
      </c>
      <c r="G309" s="6" t="s">
        <v>37</v>
      </c>
      <c r="H309" s="6" t="s">
        <v>64</v>
      </c>
      <c r="I309" s="8"/>
      <c r="J309" s="9">
        <v>1</v>
      </c>
      <c r="K309" s="9">
        <v>152</v>
      </c>
      <c r="L309" s="9">
        <v>2024</v>
      </c>
      <c r="M309" s="8" t="s">
        <v>1958</v>
      </c>
      <c r="N309" s="8" t="s">
        <v>41</v>
      </c>
      <c r="O309" s="8" t="s">
        <v>42</v>
      </c>
      <c r="P309" s="6" t="s">
        <v>66</v>
      </c>
      <c r="Q309" s="8" t="s">
        <v>67</v>
      </c>
      <c r="R309" s="10" t="s">
        <v>558</v>
      </c>
      <c r="S309" s="11"/>
      <c r="T309" s="6"/>
      <c r="U309" s="28" t="str">
        <f>HYPERLINK("https://media.infra-m.ru/2141/2141097/cover/2141097.jpg", "Обложка")</f>
        <v>Обложка</v>
      </c>
      <c r="V309" s="28" t="str">
        <f>HYPERLINK("https://znanium.ru/catalog/product/2141097", "Ознакомиться")</f>
        <v>Ознакомиться</v>
      </c>
      <c r="W309" s="8" t="s">
        <v>69</v>
      </c>
      <c r="X309" s="6" t="s">
        <v>320</v>
      </c>
      <c r="Y309" s="6"/>
      <c r="Z309" s="6"/>
      <c r="AA309" s="6" t="s">
        <v>1959</v>
      </c>
    </row>
    <row r="310" spans="1:27" s="4" customFormat="1" ht="44.1" customHeight="1">
      <c r="A310" s="5">
        <v>0</v>
      </c>
      <c r="B310" s="6" t="s">
        <v>1960</v>
      </c>
      <c r="C310" s="13">
        <v>609.9</v>
      </c>
      <c r="D310" s="8" t="s">
        <v>1961</v>
      </c>
      <c r="E310" s="8" t="s">
        <v>1962</v>
      </c>
      <c r="F310" s="8" t="s">
        <v>1957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2021</v>
      </c>
      <c r="M310" s="8" t="s">
        <v>1963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HYPERLINK("https://media.infra-m.ru/1303/1303010/cover/1303010.jpg",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/>
      <c r="Y310" s="6"/>
      <c r="Z310" s="6"/>
      <c r="AA310" s="6" t="s">
        <v>70</v>
      </c>
    </row>
    <row r="311" spans="1:27" s="4" customFormat="1" ht="42" customHeight="1">
      <c r="A311" s="5">
        <v>0</v>
      </c>
      <c r="B311" s="6" t="s">
        <v>1964</v>
      </c>
      <c r="C311" s="7">
        <v>2160</v>
      </c>
      <c r="D311" s="8" t="s">
        <v>1965</v>
      </c>
      <c r="E311" s="8" t="s">
        <v>1966</v>
      </c>
      <c r="F311" s="8" t="s">
        <v>1967</v>
      </c>
      <c r="G311" s="6" t="s">
        <v>75</v>
      </c>
      <c r="H311" s="6" t="s">
        <v>352</v>
      </c>
      <c r="I311" s="8"/>
      <c r="J311" s="9">
        <v>1</v>
      </c>
      <c r="K311" s="9">
        <v>568</v>
      </c>
      <c r="L311" s="9">
        <v>2022</v>
      </c>
      <c r="M311" s="8" t="s">
        <v>1968</v>
      </c>
      <c r="N311" s="8" t="s">
        <v>41</v>
      </c>
      <c r="O311" s="8" t="s">
        <v>42</v>
      </c>
      <c r="P311" s="6" t="s">
        <v>78</v>
      </c>
      <c r="Q311" s="8" t="s">
        <v>97</v>
      </c>
      <c r="R311" s="10" t="s">
        <v>1969</v>
      </c>
      <c r="S311" s="11"/>
      <c r="T311" s="6"/>
      <c r="U311" s="28" t="str">
        <f>HYPERLINK("https://media.infra-m.ru/1857/1857817/cover/1857817.jpg", "Обложка")</f>
        <v>Обложка</v>
      </c>
      <c r="V311" s="28" t="str">
        <f>HYPERLINK("https://znanium.ru/catalog/product/1857817", "Ознакомиться")</f>
        <v>Ознакомиться</v>
      </c>
      <c r="W311" s="8" t="s">
        <v>582</v>
      </c>
      <c r="X311" s="6"/>
      <c r="Y311" s="6"/>
      <c r="Z311" s="6"/>
      <c r="AA311" s="6" t="s">
        <v>251</v>
      </c>
    </row>
    <row r="312" spans="1:27" s="4" customFormat="1" ht="51.95" customHeight="1">
      <c r="A312" s="5">
        <v>0</v>
      </c>
      <c r="B312" s="6" t="s">
        <v>1970</v>
      </c>
      <c r="C312" s="7">
        <v>1950</v>
      </c>
      <c r="D312" s="8" t="s">
        <v>1971</v>
      </c>
      <c r="E312" s="8" t="s">
        <v>1972</v>
      </c>
      <c r="F312" s="8" t="s">
        <v>1973</v>
      </c>
      <c r="G312" s="6" t="s">
        <v>75</v>
      </c>
      <c r="H312" s="6" t="s">
        <v>38</v>
      </c>
      <c r="I312" s="8" t="s">
        <v>139</v>
      </c>
      <c r="J312" s="9">
        <v>1</v>
      </c>
      <c r="K312" s="9">
        <v>624</v>
      </c>
      <c r="L312" s="9">
        <v>2019</v>
      </c>
      <c r="M312" s="8" t="s">
        <v>1974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1975</v>
      </c>
      <c r="S312" s="11" t="s">
        <v>1976</v>
      </c>
      <c r="T312" s="6"/>
      <c r="U312" s="28" t="str">
        <f>HYPERLINK("https://media.infra-m.ru/0996/0996147/cover/996147.jpg", "Обложка")</f>
        <v>Обложка</v>
      </c>
      <c r="V312" s="28" t="str">
        <f>HYPERLINK("https://znanium.ru/catalog/product/1964932", "Ознакомиться")</f>
        <v>Ознакомиться</v>
      </c>
      <c r="W312" s="8" t="s">
        <v>119</v>
      </c>
      <c r="X312" s="6"/>
      <c r="Y312" s="6"/>
      <c r="Z312" s="6"/>
      <c r="AA312" s="6" t="s">
        <v>1037</v>
      </c>
    </row>
    <row r="313" spans="1:27" s="4" customFormat="1" ht="42" customHeight="1">
      <c r="A313" s="5">
        <v>0</v>
      </c>
      <c r="B313" s="6" t="s">
        <v>1977</v>
      </c>
      <c r="C313" s="7">
        <v>1390</v>
      </c>
      <c r="D313" s="8" t="s">
        <v>1978</v>
      </c>
      <c r="E313" s="8" t="s">
        <v>1979</v>
      </c>
      <c r="F313" s="8" t="s">
        <v>1967</v>
      </c>
      <c r="G313" s="6" t="s">
        <v>37</v>
      </c>
      <c r="H313" s="6" t="s">
        <v>352</v>
      </c>
      <c r="I313" s="8"/>
      <c r="J313" s="9">
        <v>1</v>
      </c>
      <c r="K313" s="9">
        <v>560</v>
      </c>
      <c r="L313" s="9">
        <v>2018</v>
      </c>
      <c r="M313" s="8" t="s">
        <v>1980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1969</v>
      </c>
      <c r="S313" s="11"/>
      <c r="T313" s="6"/>
      <c r="U313" s="28" t="str">
        <f>HYPERLINK("https://media.infra-m.ru/0959/0959867/cover/959867.jpg", "Обложка")</f>
        <v>Обложка</v>
      </c>
      <c r="V313" s="28" t="str">
        <f>HYPERLINK("https://znanium.ru/catalog/product/1857817", "Ознакомиться")</f>
        <v>Ознакомиться</v>
      </c>
      <c r="W313" s="8" t="s">
        <v>582</v>
      </c>
      <c r="X313" s="6"/>
      <c r="Y313" s="6"/>
      <c r="Z313" s="6"/>
      <c r="AA313" s="6" t="s">
        <v>213</v>
      </c>
    </row>
    <row r="314" spans="1:27" s="4" customFormat="1" ht="51.95" customHeight="1">
      <c r="A314" s="5">
        <v>0</v>
      </c>
      <c r="B314" s="6" t="s">
        <v>1981</v>
      </c>
      <c r="C314" s="7">
        <v>1284.9000000000001</v>
      </c>
      <c r="D314" s="8" t="s">
        <v>1982</v>
      </c>
      <c r="E314" s="8" t="s">
        <v>1983</v>
      </c>
      <c r="F314" s="8" t="s">
        <v>1984</v>
      </c>
      <c r="G314" s="6" t="s">
        <v>37</v>
      </c>
      <c r="H314" s="6" t="s">
        <v>352</v>
      </c>
      <c r="I314" s="8"/>
      <c r="J314" s="9">
        <v>1</v>
      </c>
      <c r="K314" s="9">
        <v>400</v>
      </c>
      <c r="L314" s="9">
        <v>2019</v>
      </c>
      <c r="M314" s="8" t="s">
        <v>1985</v>
      </c>
      <c r="N314" s="8" t="s">
        <v>41</v>
      </c>
      <c r="O314" s="8" t="s">
        <v>42</v>
      </c>
      <c r="P314" s="6" t="s">
        <v>66</v>
      </c>
      <c r="Q314" s="8" t="s">
        <v>97</v>
      </c>
      <c r="R314" s="10" t="s">
        <v>1986</v>
      </c>
      <c r="S314" s="11" t="s">
        <v>1987</v>
      </c>
      <c r="T314" s="6"/>
      <c r="U314" s="28" t="str">
        <f>HYPERLINK("https://media.infra-m.ru/1007/1007935/cover/1007935.jpg", "Обложка")</f>
        <v>Обложка</v>
      </c>
      <c r="V314" s="28" t="str">
        <f>HYPERLINK("https://znanium.ru/catalog/product/1007935", "Ознакомиться")</f>
        <v>Ознакомиться</v>
      </c>
      <c r="W314" s="8" t="s">
        <v>480</v>
      </c>
      <c r="X314" s="6"/>
      <c r="Y314" s="6"/>
      <c r="Z314" s="6"/>
      <c r="AA314" s="6" t="s">
        <v>258</v>
      </c>
    </row>
    <row r="315" spans="1:27" s="4" customFormat="1" ht="51.95" customHeight="1">
      <c r="A315" s="5">
        <v>0</v>
      </c>
      <c r="B315" s="6" t="s">
        <v>1988</v>
      </c>
      <c r="C315" s="7">
        <v>2104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38</v>
      </c>
      <c r="I315" s="8" t="s">
        <v>76</v>
      </c>
      <c r="J315" s="9">
        <v>1</v>
      </c>
      <c r="K315" s="9">
        <v>447</v>
      </c>
      <c r="L315" s="9">
        <v>2024</v>
      </c>
      <c r="M315" s="8" t="s">
        <v>1992</v>
      </c>
      <c r="N315" s="8" t="s">
        <v>41</v>
      </c>
      <c r="O315" s="8" t="s">
        <v>42</v>
      </c>
      <c r="P315" s="6" t="s">
        <v>78</v>
      </c>
      <c r="Q315" s="8" t="s">
        <v>67</v>
      </c>
      <c r="R315" s="10" t="s">
        <v>834</v>
      </c>
      <c r="S315" s="11" t="s">
        <v>1993</v>
      </c>
      <c r="T315" s="6"/>
      <c r="U315" s="28" t="str">
        <f>HYPERLINK("https://media.infra-m.ru/2145/2145105/cover/2145105.jpg", "Обложка")</f>
        <v>Обложка</v>
      </c>
      <c r="V315" s="28" t="str">
        <f>HYPERLINK("https://znanium.ru/catalog/product/2145105", "Ознакомиться")</f>
        <v>Ознакомиться</v>
      </c>
      <c r="W315" s="8" t="s">
        <v>119</v>
      </c>
      <c r="X315" s="6"/>
      <c r="Y315" s="6"/>
      <c r="Z315" s="6"/>
      <c r="AA315" s="6" t="s">
        <v>70</v>
      </c>
    </row>
    <row r="316" spans="1:27" s="4" customFormat="1" ht="51.95" customHeight="1">
      <c r="A316" s="5">
        <v>0</v>
      </c>
      <c r="B316" s="6" t="s">
        <v>1994</v>
      </c>
      <c r="C316" s="7">
        <v>1824</v>
      </c>
      <c r="D316" s="8" t="s">
        <v>1995</v>
      </c>
      <c r="E316" s="8" t="s">
        <v>1996</v>
      </c>
      <c r="F316" s="8" t="s">
        <v>717</v>
      </c>
      <c r="G316" s="6" t="s">
        <v>75</v>
      </c>
      <c r="H316" s="6" t="s">
        <v>132</v>
      </c>
      <c r="I316" s="8" t="s">
        <v>94</v>
      </c>
      <c r="J316" s="9">
        <v>1</v>
      </c>
      <c r="K316" s="9">
        <v>398</v>
      </c>
      <c r="L316" s="9">
        <v>2020</v>
      </c>
      <c r="M316" s="8" t="s">
        <v>1997</v>
      </c>
      <c r="N316" s="8" t="s">
        <v>41</v>
      </c>
      <c r="O316" s="8" t="s">
        <v>42</v>
      </c>
      <c r="P316" s="6" t="s">
        <v>78</v>
      </c>
      <c r="Q316" s="8" t="s">
        <v>97</v>
      </c>
      <c r="R316" s="10" t="s">
        <v>1998</v>
      </c>
      <c r="S316" s="11" t="s">
        <v>1999</v>
      </c>
      <c r="T316" s="6"/>
      <c r="U316" s="28" t="str">
        <f>HYPERLINK("https://media.infra-m.ru/2106/2106694/cover/2106694.jpg", "Обложка")</f>
        <v>Обложка</v>
      </c>
      <c r="V316" s="28" t="str">
        <f>HYPERLINK("https://znanium.ru/catalog/product/1862636", "Ознакомиться")</f>
        <v>Ознакомиться</v>
      </c>
      <c r="W316" s="8" t="s">
        <v>119</v>
      </c>
      <c r="X316" s="6"/>
      <c r="Y316" s="6"/>
      <c r="Z316" s="6"/>
      <c r="AA316" s="6" t="s">
        <v>258</v>
      </c>
    </row>
    <row r="317" spans="1:27" s="4" customFormat="1" ht="51.95" customHeight="1">
      <c r="A317" s="5">
        <v>0</v>
      </c>
      <c r="B317" s="6" t="s">
        <v>2000</v>
      </c>
      <c r="C317" s="7">
        <v>2500</v>
      </c>
      <c r="D317" s="8" t="s">
        <v>2001</v>
      </c>
      <c r="E317" s="8" t="s">
        <v>2002</v>
      </c>
      <c r="F317" s="8" t="s">
        <v>2003</v>
      </c>
      <c r="G317" s="6" t="s">
        <v>75</v>
      </c>
      <c r="H317" s="6" t="s">
        <v>38</v>
      </c>
      <c r="I317" s="8" t="s">
        <v>224</v>
      </c>
      <c r="J317" s="9">
        <v>1</v>
      </c>
      <c r="K317" s="9">
        <v>582</v>
      </c>
      <c r="L317" s="9">
        <v>2023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1975</v>
      </c>
      <c r="S317" s="11" t="s">
        <v>1976</v>
      </c>
      <c r="T317" s="6"/>
      <c r="U317" s="28" t="str">
        <f>HYPERLINK("https://media.infra-m.ru/1964/1964932/cover/1964932.jpg", "Обложка")</f>
        <v>Обложка</v>
      </c>
      <c r="V317" s="28" t="str">
        <f>HYPERLINK("https://znanium.ru/catalog/product/1964932", "Ознакомиться")</f>
        <v>Ознакомиться</v>
      </c>
      <c r="W317" s="8" t="s">
        <v>119</v>
      </c>
      <c r="X317" s="6"/>
      <c r="Y317" s="6"/>
      <c r="Z317" s="6"/>
      <c r="AA317" s="6" t="s">
        <v>2005</v>
      </c>
    </row>
    <row r="318" spans="1:27" s="4" customFormat="1" ht="51.95" customHeight="1">
      <c r="A318" s="5">
        <v>0</v>
      </c>
      <c r="B318" s="6" t="s">
        <v>2006</v>
      </c>
      <c r="C318" s="13">
        <v>990</v>
      </c>
      <c r="D318" s="8" t="s">
        <v>2007</v>
      </c>
      <c r="E318" s="8" t="s">
        <v>1972</v>
      </c>
      <c r="F318" s="8" t="s">
        <v>2008</v>
      </c>
      <c r="G318" s="6" t="s">
        <v>75</v>
      </c>
      <c r="H318" s="6" t="s">
        <v>38</v>
      </c>
      <c r="I318" s="8" t="s">
        <v>76</v>
      </c>
      <c r="J318" s="9">
        <v>1</v>
      </c>
      <c r="K318" s="9">
        <v>265</v>
      </c>
      <c r="L318" s="9">
        <v>2021</v>
      </c>
      <c r="M318" s="8" t="s">
        <v>2009</v>
      </c>
      <c r="N318" s="8" t="s">
        <v>41</v>
      </c>
      <c r="O318" s="8" t="s">
        <v>42</v>
      </c>
      <c r="P318" s="6" t="s">
        <v>78</v>
      </c>
      <c r="Q318" s="8" t="s">
        <v>67</v>
      </c>
      <c r="R318" s="10" t="s">
        <v>107</v>
      </c>
      <c r="S318" s="11" t="s">
        <v>2010</v>
      </c>
      <c r="T318" s="6" t="s">
        <v>151</v>
      </c>
      <c r="U318" s="28" t="str">
        <f>HYPERLINK("https://media.infra-m.ru/1239/1239253/cover/1239253.jpg", "Обложка")</f>
        <v>Обложка</v>
      </c>
      <c r="V318" s="28" t="str">
        <f>HYPERLINK("https://znanium.ru/catalog/product/1239253", "Ознакомиться")</f>
        <v>Ознакомиться</v>
      </c>
      <c r="W318" s="8" t="s">
        <v>1786</v>
      </c>
      <c r="X318" s="6"/>
      <c r="Y318" s="6"/>
      <c r="Z318" s="6"/>
      <c r="AA318" s="6" t="s">
        <v>1135</v>
      </c>
    </row>
    <row r="319" spans="1:27" s="4" customFormat="1" ht="51.95" customHeight="1">
      <c r="A319" s="5">
        <v>0</v>
      </c>
      <c r="B319" s="6" t="s">
        <v>2011</v>
      </c>
      <c r="C319" s="7">
        <v>1150</v>
      </c>
      <c r="D319" s="8" t="s">
        <v>2012</v>
      </c>
      <c r="E319" s="8" t="s">
        <v>2013</v>
      </c>
      <c r="F319" s="8" t="s">
        <v>2014</v>
      </c>
      <c r="G319" s="6" t="s">
        <v>37</v>
      </c>
      <c r="H319" s="6" t="s">
        <v>38</v>
      </c>
      <c r="I319" s="8" t="s">
        <v>192</v>
      </c>
      <c r="J319" s="9">
        <v>1</v>
      </c>
      <c r="K319" s="9">
        <v>293</v>
      </c>
      <c r="L319" s="9">
        <v>2022</v>
      </c>
      <c r="M319" s="8" t="s">
        <v>2015</v>
      </c>
      <c r="N319" s="8" t="s">
        <v>41</v>
      </c>
      <c r="O319" s="8" t="s">
        <v>42</v>
      </c>
      <c r="P319" s="6" t="s">
        <v>78</v>
      </c>
      <c r="Q319" s="8" t="s">
        <v>141</v>
      </c>
      <c r="R319" s="10" t="s">
        <v>402</v>
      </c>
      <c r="S319" s="11" t="s">
        <v>2016</v>
      </c>
      <c r="T319" s="6"/>
      <c r="U319" s="28" t="str">
        <f>HYPERLINK("https://media.infra-m.ru/1836/1836225/cover/1836225.jpg", "Обложка")</f>
        <v>Обложка</v>
      </c>
      <c r="V319" s="28" t="str">
        <f>HYPERLINK("https://znanium.ru/catalog/product/1836225", "Ознакомиться")</f>
        <v>Ознакомиться</v>
      </c>
      <c r="W319" s="8" t="s">
        <v>46</v>
      </c>
      <c r="X319" s="6"/>
      <c r="Y319" s="6"/>
      <c r="Z319" s="6"/>
      <c r="AA319" s="6" t="s">
        <v>688</v>
      </c>
    </row>
    <row r="320" spans="1:27" s="4" customFormat="1" ht="42" customHeight="1">
      <c r="A320" s="5">
        <v>0</v>
      </c>
      <c r="B320" s="6" t="s">
        <v>2017</v>
      </c>
      <c r="C320" s="7">
        <v>1210</v>
      </c>
      <c r="D320" s="8" t="s">
        <v>2018</v>
      </c>
      <c r="E320" s="8" t="s">
        <v>2019</v>
      </c>
      <c r="F320" s="8" t="s">
        <v>2020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254</v>
      </c>
      <c r="L320" s="9">
        <v>2023</v>
      </c>
      <c r="M320" s="8" t="s">
        <v>2021</v>
      </c>
      <c r="N320" s="8" t="s">
        <v>41</v>
      </c>
      <c r="O320" s="8" t="s">
        <v>42</v>
      </c>
      <c r="P320" s="6" t="s">
        <v>78</v>
      </c>
      <c r="Q320" s="8" t="s">
        <v>97</v>
      </c>
      <c r="R320" s="10" t="s">
        <v>2022</v>
      </c>
      <c r="S320" s="11"/>
      <c r="T320" s="6"/>
      <c r="U320" s="28" t="str">
        <f>HYPERLINK("https://media.infra-m.ru/1870/1870563/cover/1870563.jpg", "Обложка")</f>
        <v>Обложка</v>
      </c>
      <c r="V320" s="28" t="str">
        <f>HYPERLINK("https://znanium.ru/catalog/product/1870563", "Ознакомиться")</f>
        <v>Ознакомиться</v>
      </c>
      <c r="W320" s="8" t="s">
        <v>46</v>
      </c>
      <c r="X320" s="6"/>
      <c r="Y320" s="6"/>
      <c r="Z320" s="6"/>
      <c r="AA320" s="6" t="s">
        <v>120</v>
      </c>
    </row>
    <row r="321" spans="1:27" s="4" customFormat="1" ht="51.95" customHeight="1">
      <c r="A321" s="5">
        <v>0</v>
      </c>
      <c r="B321" s="6" t="s">
        <v>2023</v>
      </c>
      <c r="C321" s="7">
        <v>1994</v>
      </c>
      <c r="D321" s="8" t="s">
        <v>2024</v>
      </c>
      <c r="E321" s="8" t="s">
        <v>2019</v>
      </c>
      <c r="F321" s="8" t="s">
        <v>1449</v>
      </c>
      <c r="G321" s="6" t="s">
        <v>75</v>
      </c>
      <c r="H321" s="6" t="s">
        <v>132</v>
      </c>
      <c r="I321" s="8" t="s">
        <v>2025</v>
      </c>
      <c r="J321" s="9">
        <v>1</v>
      </c>
      <c r="K321" s="9">
        <v>449</v>
      </c>
      <c r="L321" s="9">
        <v>2020</v>
      </c>
      <c r="M321" s="8" t="s">
        <v>2026</v>
      </c>
      <c r="N321" s="8" t="s">
        <v>41</v>
      </c>
      <c r="O321" s="8" t="s">
        <v>42</v>
      </c>
      <c r="P321" s="6" t="s">
        <v>78</v>
      </c>
      <c r="Q321" s="8" t="s">
        <v>67</v>
      </c>
      <c r="R321" s="10" t="s">
        <v>2027</v>
      </c>
      <c r="S321" s="11" t="s">
        <v>2028</v>
      </c>
      <c r="T321" s="6"/>
      <c r="U321" s="28" t="str">
        <f>HYPERLINK("https://media.infra-m.ru/2106/2106693/cover/2106693.jpg", "Обложка")</f>
        <v>Обложка</v>
      </c>
      <c r="V321" s="28" t="str">
        <f>HYPERLINK("https://znanium.ru/catalog/product/1862622", "Ознакомиться")</f>
        <v>Ознакомиться</v>
      </c>
      <c r="W321" s="8" t="s">
        <v>119</v>
      </c>
      <c r="X321" s="6"/>
      <c r="Y321" s="6"/>
      <c r="Z321" s="6"/>
      <c r="AA321" s="6" t="s">
        <v>173</v>
      </c>
    </row>
    <row r="322" spans="1:27" s="4" customFormat="1" ht="51.95" customHeight="1">
      <c r="A322" s="5">
        <v>0</v>
      </c>
      <c r="B322" s="6" t="s">
        <v>2029</v>
      </c>
      <c r="C322" s="7">
        <v>1134</v>
      </c>
      <c r="D322" s="8" t="s">
        <v>2030</v>
      </c>
      <c r="E322" s="8" t="s">
        <v>2031</v>
      </c>
      <c r="F322" s="8" t="s">
        <v>2032</v>
      </c>
      <c r="G322" s="6" t="s">
        <v>53</v>
      </c>
      <c r="H322" s="6" t="s">
        <v>38</v>
      </c>
      <c r="I322" s="8" t="s">
        <v>39</v>
      </c>
      <c r="J322" s="9">
        <v>1</v>
      </c>
      <c r="K322" s="9">
        <v>249</v>
      </c>
      <c r="L322" s="9">
        <v>2023</v>
      </c>
      <c r="M322" s="8" t="s">
        <v>2033</v>
      </c>
      <c r="N322" s="8" t="s">
        <v>41</v>
      </c>
      <c r="O322" s="8" t="s">
        <v>56</v>
      </c>
      <c r="P322" s="6" t="s">
        <v>43</v>
      </c>
      <c r="Q322" s="8" t="s">
        <v>44</v>
      </c>
      <c r="R322" s="10" t="s">
        <v>2034</v>
      </c>
      <c r="S322" s="11"/>
      <c r="T322" s="6"/>
      <c r="U322" s="28" t="str">
        <f>HYPERLINK("https://media.infra-m.ru/2006/2006938/cover/2006938.jpg", "Обложка")</f>
        <v>Обложка</v>
      </c>
      <c r="V322" s="28" t="str">
        <f>HYPERLINK("https://znanium.ru/catalog/product/1002633", "Ознакомиться")</f>
        <v>Ознакомиться</v>
      </c>
      <c r="W322" s="8" t="s">
        <v>119</v>
      </c>
      <c r="X322" s="6"/>
      <c r="Y322" s="6"/>
      <c r="Z322" s="6"/>
      <c r="AA322" s="6" t="s">
        <v>82</v>
      </c>
    </row>
    <row r="323" spans="1:27" s="4" customFormat="1" ht="44.1" customHeight="1">
      <c r="A323" s="5">
        <v>0</v>
      </c>
      <c r="B323" s="6" t="s">
        <v>2035</v>
      </c>
      <c r="C323" s="7">
        <v>1714</v>
      </c>
      <c r="D323" s="8" t="s">
        <v>2036</v>
      </c>
      <c r="E323" s="8" t="s">
        <v>2037</v>
      </c>
      <c r="F323" s="8" t="s">
        <v>2038</v>
      </c>
      <c r="G323" s="6" t="s">
        <v>37</v>
      </c>
      <c r="H323" s="6" t="s">
        <v>352</v>
      </c>
      <c r="I323" s="8"/>
      <c r="J323" s="9">
        <v>1</v>
      </c>
      <c r="K323" s="9">
        <v>368</v>
      </c>
      <c r="L323" s="9">
        <v>2023</v>
      </c>
      <c r="M323" s="8" t="s">
        <v>2039</v>
      </c>
      <c r="N323" s="8" t="s">
        <v>41</v>
      </c>
      <c r="O323" s="8" t="s">
        <v>42</v>
      </c>
      <c r="P323" s="6" t="s">
        <v>78</v>
      </c>
      <c r="Q323" s="8" t="s">
        <v>97</v>
      </c>
      <c r="R323" s="10" t="s">
        <v>1162</v>
      </c>
      <c r="S323" s="11"/>
      <c r="T323" s="6"/>
      <c r="U323" s="28" t="str">
        <f>HYPERLINK("https://media.infra-m.ru/2085/2085568/cover/2085568.jpg", "Обложка")</f>
        <v>Обложка</v>
      </c>
      <c r="V323" s="28" t="str">
        <f>HYPERLINK("https://znanium.ru/catalog/product/2085568", "Ознакомиться")</f>
        <v>Ознакомиться</v>
      </c>
      <c r="W323" s="8" t="s">
        <v>81</v>
      </c>
      <c r="X323" s="6"/>
      <c r="Y323" s="6"/>
      <c r="Z323" s="6"/>
      <c r="AA323" s="6" t="s">
        <v>251</v>
      </c>
    </row>
    <row r="324" spans="1:27" s="4" customFormat="1" ht="44.1" customHeight="1">
      <c r="A324" s="5">
        <v>0</v>
      </c>
      <c r="B324" s="6" t="s">
        <v>2040</v>
      </c>
      <c r="C324" s="7">
        <v>1744.9</v>
      </c>
      <c r="D324" s="8" t="s">
        <v>2041</v>
      </c>
      <c r="E324" s="8" t="s">
        <v>2042</v>
      </c>
      <c r="F324" s="8" t="s">
        <v>2038</v>
      </c>
      <c r="G324" s="6" t="s">
        <v>37</v>
      </c>
      <c r="H324" s="6" t="s">
        <v>352</v>
      </c>
      <c r="I324" s="8"/>
      <c r="J324" s="9">
        <v>6</v>
      </c>
      <c r="K324" s="9">
        <v>688</v>
      </c>
      <c r="L324" s="9">
        <v>2018</v>
      </c>
      <c r="M324" s="8" t="s">
        <v>2043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HYPERLINK("https://media.infra-m.ru/0937/0937959/cover/937959.jpg",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321</v>
      </c>
    </row>
    <row r="325" spans="1:27" s="4" customFormat="1" ht="51.95" customHeight="1">
      <c r="A325" s="5">
        <v>0</v>
      </c>
      <c r="B325" s="6" t="s">
        <v>2044</v>
      </c>
      <c r="C325" s="13">
        <v>820</v>
      </c>
      <c r="D325" s="8" t="s">
        <v>2045</v>
      </c>
      <c r="E325" s="8" t="s">
        <v>2046</v>
      </c>
      <c r="F325" s="8" t="s">
        <v>2047</v>
      </c>
      <c r="G325" s="6" t="s">
        <v>75</v>
      </c>
      <c r="H325" s="6" t="s">
        <v>38</v>
      </c>
      <c r="I325" s="8" t="s">
        <v>94</v>
      </c>
      <c r="J325" s="9">
        <v>1</v>
      </c>
      <c r="K325" s="9">
        <v>216</v>
      </c>
      <c r="L325" s="9">
        <v>2022</v>
      </c>
      <c r="M325" s="8" t="s">
        <v>2048</v>
      </c>
      <c r="N325" s="8" t="s">
        <v>41</v>
      </c>
      <c r="O325" s="8" t="s">
        <v>42</v>
      </c>
      <c r="P325" s="6" t="s">
        <v>66</v>
      </c>
      <c r="Q325" s="8" t="s">
        <v>97</v>
      </c>
      <c r="R325" s="10" t="s">
        <v>1426</v>
      </c>
      <c r="S325" s="11" t="s">
        <v>2049</v>
      </c>
      <c r="T325" s="6"/>
      <c r="U325" s="28" t="str">
        <f>HYPERLINK("https://media.infra-m.ru/1831/1831180/cover/1831180.jpg", "Обложка")</f>
        <v>Обложка</v>
      </c>
      <c r="V325" s="28" t="str">
        <f>HYPERLINK("https://znanium.ru/catalog/product/1831180", "Ознакомиться")</f>
        <v>Ознакомиться</v>
      </c>
      <c r="W325" s="8" t="s">
        <v>1477</v>
      </c>
      <c r="X325" s="6"/>
      <c r="Y325" s="6"/>
      <c r="Z325" s="6"/>
      <c r="AA325" s="6" t="s">
        <v>1318</v>
      </c>
    </row>
    <row r="326" spans="1:27" s="4" customFormat="1" ht="51.95" customHeight="1">
      <c r="A326" s="5">
        <v>0</v>
      </c>
      <c r="B326" s="6" t="s">
        <v>2050</v>
      </c>
      <c r="C326" s="7">
        <v>2094.9</v>
      </c>
      <c r="D326" s="8" t="s">
        <v>2051</v>
      </c>
      <c r="E326" s="8" t="s">
        <v>2052</v>
      </c>
      <c r="F326" s="8" t="s">
        <v>2053</v>
      </c>
      <c r="G326" s="6" t="s">
        <v>37</v>
      </c>
      <c r="H326" s="6" t="s">
        <v>352</v>
      </c>
      <c r="I326" s="8"/>
      <c r="J326" s="9">
        <v>1</v>
      </c>
      <c r="K326" s="9">
        <v>605</v>
      </c>
      <c r="L326" s="9">
        <v>2022</v>
      </c>
      <c r="M326" s="8" t="s">
        <v>2054</v>
      </c>
      <c r="N326" s="8" t="s">
        <v>41</v>
      </c>
      <c r="O326" s="8" t="s">
        <v>96</v>
      </c>
      <c r="P326" s="6" t="s">
        <v>66</v>
      </c>
      <c r="Q326" s="8" t="s">
        <v>141</v>
      </c>
      <c r="R326" s="10" t="s">
        <v>2055</v>
      </c>
      <c r="S326" s="11" t="s">
        <v>2056</v>
      </c>
      <c r="T326" s="6"/>
      <c r="U326" s="28" t="str">
        <f>HYPERLINK("https://media.infra-m.ru/1838/1838852/cover/1838852.jpg", "Обложка")</f>
        <v>Обложка</v>
      </c>
      <c r="V326" s="28" t="str">
        <f>HYPERLINK("https://znanium.ru/catalog/product/1838852", "Ознакомиться")</f>
        <v>Ознакомиться</v>
      </c>
      <c r="W326" s="8" t="s">
        <v>81</v>
      </c>
      <c r="X326" s="6"/>
      <c r="Y326" s="6"/>
      <c r="Z326" s="6"/>
      <c r="AA326" s="6" t="s">
        <v>473</v>
      </c>
    </row>
    <row r="327" spans="1:27" s="4" customFormat="1" ht="51.95" customHeight="1">
      <c r="A327" s="5">
        <v>0</v>
      </c>
      <c r="B327" s="6" t="s">
        <v>2057</v>
      </c>
      <c r="C327" s="13">
        <v>554</v>
      </c>
      <c r="D327" s="8" t="s">
        <v>2058</v>
      </c>
      <c r="E327" s="8" t="s">
        <v>2059</v>
      </c>
      <c r="F327" s="8" t="s">
        <v>2060</v>
      </c>
      <c r="G327" s="6" t="s">
        <v>53</v>
      </c>
      <c r="H327" s="6" t="s">
        <v>38</v>
      </c>
      <c r="I327" s="8" t="s">
        <v>39</v>
      </c>
      <c r="J327" s="9">
        <v>1</v>
      </c>
      <c r="K327" s="9">
        <v>120</v>
      </c>
      <c r="L327" s="9">
        <v>2024</v>
      </c>
      <c r="M327" s="8" t="s">
        <v>2061</v>
      </c>
      <c r="N327" s="8" t="s">
        <v>41</v>
      </c>
      <c r="O327" s="8" t="s">
        <v>42</v>
      </c>
      <c r="P327" s="6" t="s">
        <v>43</v>
      </c>
      <c r="Q327" s="8" t="s">
        <v>44</v>
      </c>
      <c r="R327" s="10" t="s">
        <v>2062</v>
      </c>
      <c r="S327" s="11"/>
      <c r="T327" s="6"/>
      <c r="U327" s="28" t="str">
        <f>HYPERLINK("https://media.infra-m.ru/2117/2117160/cover/2117160.jpg", "Обложка")</f>
        <v>Обложка</v>
      </c>
      <c r="V327" s="28" t="str">
        <f>HYPERLINK("https://znanium.ru/catalog/product/1015205", "Ознакомиться")</f>
        <v>Ознакомиться</v>
      </c>
      <c r="W327" s="8" t="s">
        <v>166</v>
      </c>
      <c r="X327" s="6"/>
      <c r="Y327" s="6"/>
      <c r="Z327" s="6"/>
      <c r="AA327" s="6" t="s">
        <v>321</v>
      </c>
    </row>
    <row r="328" spans="1:27" s="4" customFormat="1" ht="42" customHeight="1">
      <c r="A328" s="5">
        <v>0</v>
      </c>
      <c r="B328" s="6" t="s">
        <v>2063</v>
      </c>
      <c r="C328" s="7">
        <v>1040</v>
      </c>
      <c r="D328" s="8" t="s">
        <v>2064</v>
      </c>
      <c r="E328" s="8" t="s">
        <v>2065</v>
      </c>
      <c r="F328" s="8" t="s">
        <v>2066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231</v>
      </c>
      <c r="L328" s="9">
        <v>2023</v>
      </c>
      <c r="M328" s="8" t="s">
        <v>2067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426</v>
      </c>
      <c r="S328" s="11"/>
      <c r="T328" s="6" t="s">
        <v>151</v>
      </c>
      <c r="U328" s="28" t="str">
        <f>HYPERLINK("https://media.infra-m.ru/1980/1980012/cover/1980012.jpg", "Обложка")</f>
        <v>Обложка</v>
      </c>
      <c r="V328" s="28" t="str">
        <f>HYPERLINK("https://znanium.ru/catalog/product/1980012", "Ознакомиться")</f>
        <v>Ознакомиться</v>
      </c>
      <c r="W328" s="8" t="s">
        <v>2068</v>
      </c>
      <c r="X328" s="6"/>
      <c r="Y328" s="6"/>
      <c r="Z328" s="6"/>
      <c r="AA328" s="6" t="s">
        <v>321</v>
      </c>
    </row>
    <row r="329" spans="1:27" s="4" customFormat="1" ht="51.95" customHeight="1">
      <c r="A329" s="5">
        <v>0</v>
      </c>
      <c r="B329" s="6" t="s">
        <v>2069</v>
      </c>
      <c r="C329" s="13">
        <v>960</v>
      </c>
      <c r="D329" s="8" t="s">
        <v>2070</v>
      </c>
      <c r="E329" s="8" t="s">
        <v>2071</v>
      </c>
      <c r="F329" s="8" t="s">
        <v>2072</v>
      </c>
      <c r="G329" s="6" t="s">
        <v>53</v>
      </c>
      <c r="H329" s="6" t="s">
        <v>38</v>
      </c>
      <c r="I329" s="8"/>
      <c r="J329" s="9">
        <v>1</v>
      </c>
      <c r="K329" s="9">
        <v>208</v>
      </c>
      <c r="L329" s="9">
        <v>2024</v>
      </c>
      <c r="M329" s="8" t="s">
        <v>2073</v>
      </c>
      <c r="N329" s="8" t="s">
        <v>41</v>
      </c>
      <c r="O329" s="8" t="s">
        <v>42</v>
      </c>
      <c r="P329" s="6" t="s">
        <v>1869</v>
      </c>
      <c r="Q329" s="8" t="s">
        <v>471</v>
      </c>
      <c r="R329" s="10" t="s">
        <v>2074</v>
      </c>
      <c r="S329" s="11" t="s">
        <v>2075</v>
      </c>
      <c r="T329" s="6"/>
      <c r="U329" s="28" t="str">
        <f>HYPERLINK("https://media.infra-m.ru/2089/2089372/cover/2089372.jpg", "Обложка")</f>
        <v>Обложка</v>
      </c>
      <c r="V329" s="28" t="str">
        <f>HYPERLINK("https://znanium.ru/catalog/product/2089372", "Ознакомиться")</f>
        <v>Ознакомиться</v>
      </c>
      <c r="W329" s="8" t="s">
        <v>738</v>
      </c>
      <c r="X329" s="6"/>
      <c r="Y329" s="6" t="s">
        <v>30</v>
      </c>
      <c r="Z329" s="6"/>
      <c r="AA329" s="6" t="s">
        <v>1505</v>
      </c>
    </row>
    <row r="330" spans="1:27" s="4" customFormat="1" ht="51.95" customHeight="1">
      <c r="A330" s="5">
        <v>0</v>
      </c>
      <c r="B330" s="6" t="s">
        <v>2076</v>
      </c>
      <c r="C330" s="7">
        <v>1590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 t="s">
        <v>39</v>
      </c>
      <c r="J330" s="9">
        <v>1</v>
      </c>
      <c r="K330" s="9">
        <v>334</v>
      </c>
      <c r="L330" s="9">
        <v>2023</v>
      </c>
      <c r="M330" s="8" t="s">
        <v>2080</v>
      </c>
      <c r="N330" s="8" t="s">
        <v>41</v>
      </c>
      <c r="O330" s="8" t="s">
        <v>42</v>
      </c>
      <c r="P330" s="6" t="s">
        <v>43</v>
      </c>
      <c r="Q330" s="8" t="s">
        <v>44</v>
      </c>
      <c r="R330" s="10" t="s">
        <v>2081</v>
      </c>
      <c r="S330" s="11"/>
      <c r="T330" s="6"/>
      <c r="U330" s="28" t="str">
        <f>HYPERLINK("https://media.infra-m.ru/1907/1907644/cover/1907644.jpg", "Обложка")</f>
        <v>Обложка</v>
      </c>
      <c r="V330" s="28" t="str">
        <f>HYPERLINK("https://znanium.ru/catalog/product/1907644", "Ознакомиться")</f>
        <v>Ознакомиться</v>
      </c>
      <c r="W330" s="8" t="s">
        <v>275</v>
      </c>
      <c r="X330" s="6"/>
      <c r="Y330" s="6"/>
      <c r="Z330" s="6"/>
      <c r="AA330" s="6" t="s">
        <v>120</v>
      </c>
    </row>
    <row r="331" spans="1:27" s="4" customFormat="1" ht="51.95" customHeight="1">
      <c r="A331" s="5">
        <v>0</v>
      </c>
      <c r="B331" s="6" t="s">
        <v>2082</v>
      </c>
      <c r="C331" s="13">
        <v>810</v>
      </c>
      <c r="D331" s="8" t="s">
        <v>2083</v>
      </c>
      <c r="E331" s="8" t="s">
        <v>2084</v>
      </c>
      <c r="F331" s="8" t="s">
        <v>124</v>
      </c>
      <c r="G331" s="6" t="s">
        <v>37</v>
      </c>
      <c r="H331" s="6" t="s">
        <v>38</v>
      </c>
      <c r="I331" s="8" t="s">
        <v>39</v>
      </c>
      <c r="J331" s="9">
        <v>1</v>
      </c>
      <c r="K331" s="9">
        <v>198</v>
      </c>
      <c r="L331" s="9">
        <v>2022</v>
      </c>
      <c r="M331" s="8" t="s">
        <v>2085</v>
      </c>
      <c r="N331" s="8" t="s">
        <v>41</v>
      </c>
      <c r="O331" s="8" t="s">
        <v>96</v>
      </c>
      <c r="P331" s="6" t="s">
        <v>43</v>
      </c>
      <c r="Q331" s="8" t="s">
        <v>44</v>
      </c>
      <c r="R331" s="10" t="s">
        <v>2086</v>
      </c>
      <c r="S331" s="11"/>
      <c r="T331" s="6" t="s">
        <v>151</v>
      </c>
      <c r="U331" s="28" t="str">
        <f>HYPERLINK("https://media.infra-m.ru/1842/1842566/cover/1842566.jpg", "Обложка")</f>
        <v>Обложка</v>
      </c>
      <c r="V331" s="28" t="str">
        <f>HYPERLINK("https://znanium.ru/catalog/product/1842566", "Ознакомиться")</f>
        <v>Ознакомиться</v>
      </c>
      <c r="W331" s="8" t="s">
        <v>46</v>
      </c>
      <c r="X331" s="6"/>
      <c r="Y331" s="6"/>
      <c r="Z331" s="6"/>
      <c r="AA331" s="6" t="s">
        <v>688</v>
      </c>
    </row>
    <row r="332" spans="1:27" s="4" customFormat="1" ht="42" customHeight="1">
      <c r="A332" s="5">
        <v>0</v>
      </c>
      <c r="B332" s="6" t="s">
        <v>2087</v>
      </c>
      <c r="C332" s="13">
        <v>900</v>
      </c>
      <c r="D332" s="8" t="s">
        <v>2088</v>
      </c>
      <c r="E332" s="8" t="s">
        <v>2089</v>
      </c>
      <c r="F332" s="8" t="s">
        <v>2090</v>
      </c>
      <c r="G332" s="6" t="s">
        <v>75</v>
      </c>
      <c r="H332" s="6" t="s">
        <v>132</v>
      </c>
      <c r="I332" s="8"/>
      <c r="J332" s="9">
        <v>1</v>
      </c>
      <c r="K332" s="9">
        <v>281</v>
      </c>
      <c r="L332" s="9">
        <v>2019</v>
      </c>
      <c r="M332" s="8" t="s">
        <v>2091</v>
      </c>
      <c r="N332" s="8" t="s">
        <v>41</v>
      </c>
      <c r="O332" s="8" t="s">
        <v>42</v>
      </c>
      <c r="P332" s="6" t="s">
        <v>66</v>
      </c>
      <c r="Q332" s="8" t="s">
        <v>67</v>
      </c>
      <c r="R332" s="10" t="s">
        <v>426</v>
      </c>
      <c r="S332" s="11"/>
      <c r="T332" s="6" t="s">
        <v>151</v>
      </c>
      <c r="U332" s="28" t="str">
        <f>HYPERLINK("https://media.infra-m.ru/0995/0995941/cover/995941.jpg", "Обложка")</f>
        <v>Обложка</v>
      </c>
      <c r="V332" s="28" t="str">
        <f>HYPERLINK("https://znanium.ru/catalog/product/995941", "Ознакомиться")</f>
        <v>Ознакомиться</v>
      </c>
      <c r="W332" s="8" t="s">
        <v>119</v>
      </c>
      <c r="X332" s="6"/>
      <c r="Y332" s="6"/>
      <c r="Z332" s="6"/>
      <c r="AA332" s="6" t="s">
        <v>213</v>
      </c>
    </row>
    <row r="333" spans="1:27" s="4" customFormat="1" ht="44.1" customHeight="1">
      <c r="A333" s="5">
        <v>0</v>
      </c>
      <c r="B333" s="6" t="s">
        <v>2092</v>
      </c>
      <c r="C333" s="7">
        <v>1524.9</v>
      </c>
      <c r="D333" s="8" t="s">
        <v>2093</v>
      </c>
      <c r="E333" s="8" t="s">
        <v>2094</v>
      </c>
      <c r="F333" s="8" t="s">
        <v>2095</v>
      </c>
      <c r="G333" s="6" t="s">
        <v>53</v>
      </c>
      <c r="H333" s="6" t="s">
        <v>38</v>
      </c>
      <c r="I333" s="8" t="s">
        <v>39</v>
      </c>
      <c r="J333" s="9">
        <v>1</v>
      </c>
      <c r="K333" s="9">
        <v>338</v>
      </c>
      <c r="L333" s="9">
        <v>2023</v>
      </c>
      <c r="M333" s="8" t="s">
        <v>2096</v>
      </c>
      <c r="N333" s="8" t="s">
        <v>41</v>
      </c>
      <c r="O333" s="8" t="s">
        <v>96</v>
      </c>
      <c r="P333" s="6" t="s">
        <v>43</v>
      </c>
      <c r="Q333" s="8" t="s">
        <v>44</v>
      </c>
      <c r="R333" s="10" t="s">
        <v>486</v>
      </c>
      <c r="S333" s="11"/>
      <c r="T333" s="6"/>
      <c r="U333" s="28" t="str">
        <f>HYPERLINK("https://media.infra-m.ru/1965/1965767/cover/1965767.jpg", "Обложка")</f>
        <v>Обложка</v>
      </c>
      <c r="V333" s="28" t="str">
        <f>HYPERLINK("https://znanium.ru/catalog/product/1021947", "Ознакомиться")</f>
        <v>Ознакомиться</v>
      </c>
      <c r="W333" s="8" t="s">
        <v>757</v>
      </c>
      <c r="X333" s="6"/>
      <c r="Y333" s="6"/>
      <c r="Z333" s="6"/>
      <c r="AA333" s="6" t="s">
        <v>173</v>
      </c>
    </row>
    <row r="334" spans="1:27" s="4" customFormat="1" ht="51.95" customHeight="1">
      <c r="A334" s="5">
        <v>0</v>
      </c>
      <c r="B334" s="6" t="s">
        <v>2097</v>
      </c>
      <c r="C334" s="7">
        <v>1370</v>
      </c>
      <c r="D334" s="8" t="s">
        <v>2098</v>
      </c>
      <c r="E334" s="8" t="s">
        <v>2099</v>
      </c>
      <c r="F334" s="8" t="s">
        <v>2100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304</v>
      </c>
      <c r="L334" s="9">
        <v>2023</v>
      </c>
      <c r="M334" s="8" t="s">
        <v>2101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1360</v>
      </c>
      <c r="S334" s="11"/>
      <c r="T334" s="6"/>
      <c r="U334" s="28" t="str">
        <f>HYPERLINK("https://media.infra-m.ru/1875/1875454/cover/1875454.jpg", "Обложка")</f>
        <v>Обложка</v>
      </c>
      <c r="V334" s="28" t="str">
        <f>HYPERLINK("https://znanium.ru/catalog/product/1875454", "Ознакомиться")</f>
        <v>Ознакомиться</v>
      </c>
      <c r="W334" s="8" t="s">
        <v>757</v>
      </c>
      <c r="X334" s="6"/>
      <c r="Y334" s="6"/>
      <c r="Z334" s="6"/>
      <c r="AA334" s="6" t="s">
        <v>120</v>
      </c>
    </row>
    <row r="335" spans="1:27" s="4" customFormat="1" ht="44.1" customHeight="1">
      <c r="A335" s="5">
        <v>0</v>
      </c>
      <c r="B335" s="6" t="s">
        <v>2102</v>
      </c>
      <c r="C335" s="13">
        <v>444.9</v>
      </c>
      <c r="D335" s="8" t="s">
        <v>2103</v>
      </c>
      <c r="E335" s="8" t="s">
        <v>2104</v>
      </c>
      <c r="F335" s="8" t="s">
        <v>2105</v>
      </c>
      <c r="G335" s="6" t="s">
        <v>53</v>
      </c>
      <c r="H335" s="6" t="s">
        <v>64</v>
      </c>
      <c r="I335" s="8"/>
      <c r="J335" s="14">
        <v>0</v>
      </c>
      <c r="K335" s="9">
        <v>144</v>
      </c>
      <c r="L335" s="9">
        <v>2017</v>
      </c>
      <c r="M335" s="8" t="s">
        <v>2106</v>
      </c>
      <c r="N335" s="8" t="s">
        <v>41</v>
      </c>
      <c r="O335" s="8" t="s">
        <v>56</v>
      </c>
      <c r="P335" s="6" t="s">
        <v>43</v>
      </c>
      <c r="Q335" s="8" t="s">
        <v>471</v>
      </c>
      <c r="R335" s="10" t="s">
        <v>2107</v>
      </c>
      <c r="S335" s="11"/>
      <c r="T335" s="6"/>
      <c r="U335" s="28" t="str">
        <f>HYPERLINK("https://media.infra-m.ru/0773/0773180/cover/773180.jpg", "Обложка")</f>
        <v>Обложка</v>
      </c>
      <c r="V335" s="28" t="str">
        <f>HYPERLINK("https://znanium.ru/catalog/product/510787", "Ознакомиться")</f>
        <v>Ознакомиться</v>
      </c>
      <c r="W335" s="8"/>
      <c r="X335" s="6"/>
      <c r="Y335" s="6"/>
      <c r="Z335" s="6"/>
      <c r="AA335" s="6" t="s">
        <v>321</v>
      </c>
    </row>
    <row r="336" spans="1:27" s="4" customFormat="1" ht="44.1" customHeight="1">
      <c r="A336" s="5">
        <v>0</v>
      </c>
      <c r="B336" s="6" t="s">
        <v>2108</v>
      </c>
      <c r="C336" s="13">
        <v>884</v>
      </c>
      <c r="D336" s="8" t="s">
        <v>2109</v>
      </c>
      <c r="E336" s="8" t="s">
        <v>2110</v>
      </c>
      <c r="F336" s="8" t="s">
        <v>2111</v>
      </c>
      <c r="G336" s="6" t="s">
        <v>37</v>
      </c>
      <c r="H336" s="6" t="s">
        <v>132</v>
      </c>
      <c r="I336" s="8"/>
      <c r="J336" s="9">
        <v>1</v>
      </c>
      <c r="K336" s="9">
        <v>192</v>
      </c>
      <c r="L336" s="9">
        <v>2024</v>
      </c>
      <c r="M336" s="8" t="s">
        <v>2112</v>
      </c>
      <c r="N336" s="8" t="s">
        <v>41</v>
      </c>
      <c r="O336" s="8" t="s">
        <v>42</v>
      </c>
      <c r="P336" s="6" t="s">
        <v>66</v>
      </c>
      <c r="Q336" s="8" t="s">
        <v>67</v>
      </c>
      <c r="R336" s="10" t="s">
        <v>2113</v>
      </c>
      <c r="S336" s="11"/>
      <c r="T336" s="6"/>
      <c r="U336" s="28" t="str">
        <f>HYPERLINK("https://media.infra-m.ru/2120/2120766/cover/2120766.jpg", "Обложка")</f>
        <v>Обложка</v>
      </c>
      <c r="V336" s="28" t="str">
        <f>HYPERLINK("https://znanium.ru/catalog/product/1082315", "Ознакомиться")</f>
        <v>Ознакомиться</v>
      </c>
      <c r="W336" s="8" t="s">
        <v>328</v>
      </c>
      <c r="X336" s="6"/>
      <c r="Y336" s="6"/>
      <c r="Z336" s="6"/>
      <c r="AA336" s="6" t="s">
        <v>101</v>
      </c>
    </row>
    <row r="337" spans="1:27" s="4" customFormat="1" ht="51.95" customHeight="1">
      <c r="A337" s="5">
        <v>0</v>
      </c>
      <c r="B337" s="6" t="s">
        <v>2114</v>
      </c>
      <c r="C337" s="13">
        <v>264.89999999999998</v>
      </c>
      <c r="D337" s="8" t="s">
        <v>2115</v>
      </c>
      <c r="E337" s="8" t="s">
        <v>2116</v>
      </c>
      <c r="F337" s="8" t="s">
        <v>2117</v>
      </c>
      <c r="G337" s="6" t="s">
        <v>53</v>
      </c>
      <c r="H337" s="6" t="s">
        <v>38</v>
      </c>
      <c r="I337" s="8" t="s">
        <v>94</v>
      </c>
      <c r="J337" s="9">
        <v>1</v>
      </c>
      <c r="K337" s="9">
        <v>79</v>
      </c>
      <c r="L337" s="9">
        <v>2020</v>
      </c>
      <c r="M337" s="8" t="s">
        <v>2118</v>
      </c>
      <c r="N337" s="8" t="s">
        <v>41</v>
      </c>
      <c r="O337" s="8" t="s">
        <v>42</v>
      </c>
      <c r="P337" s="6" t="s">
        <v>66</v>
      </c>
      <c r="Q337" s="8" t="s">
        <v>97</v>
      </c>
      <c r="R337" s="10" t="s">
        <v>2119</v>
      </c>
      <c r="S337" s="11"/>
      <c r="T337" s="6"/>
      <c r="U337" s="28" t="str">
        <f>HYPERLINK("https://media.infra-m.ru/1079/1079871/cover/1079871.jpg", "Обложка")</f>
        <v>Обложка</v>
      </c>
      <c r="V337" s="28" t="str">
        <f>HYPERLINK("https://znanium.ru/catalog/product/1172173", "Ознакомиться")</f>
        <v>Ознакомиться</v>
      </c>
      <c r="W337" s="8" t="s">
        <v>119</v>
      </c>
      <c r="X337" s="6"/>
      <c r="Y337" s="6"/>
      <c r="Z337" s="6"/>
      <c r="AA337" s="6" t="s">
        <v>258</v>
      </c>
    </row>
    <row r="338" spans="1:27" s="4" customFormat="1" ht="51.95" customHeight="1">
      <c r="A338" s="5">
        <v>0</v>
      </c>
      <c r="B338" s="6" t="s">
        <v>2120</v>
      </c>
      <c r="C338" s="13">
        <v>464.9</v>
      </c>
      <c r="D338" s="8" t="s">
        <v>2121</v>
      </c>
      <c r="E338" s="8" t="s">
        <v>2122</v>
      </c>
      <c r="F338" s="8" t="s">
        <v>2123</v>
      </c>
      <c r="G338" s="6" t="s">
        <v>75</v>
      </c>
      <c r="H338" s="6" t="s">
        <v>38</v>
      </c>
      <c r="I338" s="8" t="s">
        <v>94</v>
      </c>
      <c r="J338" s="9">
        <v>1</v>
      </c>
      <c r="K338" s="9">
        <v>103</v>
      </c>
      <c r="L338" s="9">
        <v>2023</v>
      </c>
      <c r="M338" s="8" t="s">
        <v>2124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2119</v>
      </c>
      <c r="S338" s="11" t="s">
        <v>2125</v>
      </c>
      <c r="T338" s="6"/>
      <c r="U338" s="28" t="str">
        <f>HYPERLINK("https://media.infra-m.ru/1998/1998807/cover/1998807.jpg",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445</v>
      </c>
    </row>
    <row r="339" spans="1:27" s="4" customFormat="1" ht="42" customHeight="1">
      <c r="A339" s="5">
        <v>0</v>
      </c>
      <c r="B339" s="6" t="s">
        <v>2126</v>
      </c>
      <c r="C339" s="7">
        <v>1154.9000000000001</v>
      </c>
      <c r="D339" s="8" t="s">
        <v>2127</v>
      </c>
      <c r="E339" s="8" t="s">
        <v>2128</v>
      </c>
      <c r="F339" s="8" t="s">
        <v>2129</v>
      </c>
      <c r="G339" s="6" t="s">
        <v>53</v>
      </c>
      <c r="H339" s="6" t="s">
        <v>38</v>
      </c>
      <c r="I339" s="8" t="s">
        <v>76</v>
      </c>
      <c r="J339" s="9">
        <v>1</v>
      </c>
      <c r="K339" s="9">
        <v>256</v>
      </c>
      <c r="L339" s="9">
        <v>2023</v>
      </c>
      <c r="M339" s="8" t="s">
        <v>2130</v>
      </c>
      <c r="N339" s="8" t="s">
        <v>41</v>
      </c>
      <c r="O339" s="8" t="s">
        <v>42</v>
      </c>
      <c r="P339" s="6" t="s">
        <v>66</v>
      </c>
      <c r="Q339" s="8" t="s">
        <v>67</v>
      </c>
      <c r="R339" s="10" t="s">
        <v>426</v>
      </c>
      <c r="S339" s="11"/>
      <c r="T339" s="6"/>
      <c r="U339" s="28" t="str">
        <f>HYPERLINK("https://media.infra-m.ru/2001/2001662/cover/2001662.jpg", "Обложка")</f>
        <v>Обложка</v>
      </c>
      <c r="V339" s="28" t="str">
        <f>HYPERLINK("https://znanium.ru/catalog/product/1850685", "Ознакомиться")</f>
        <v>Ознакомиться</v>
      </c>
      <c r="W339" s="8" t="s">
        <v>2131</v>
      </c>
      <c r="X339" s="6"/>
      <c r="Y339" s="6"/>
      <c r="Z339" s="6"/>
      <c r="AA339" s="6" t="s">
        <v>101</v>
      </c>
    </row>
    <row r="340" spans="1:27" s="4" customFormat="1" ht="51.95" customHeight="1">
      <c r="A340" s="5">
        <v>0</v>
      </c>
      <c r="B340" s="6" t="s">
        <v>2132</v>
      </c>
      <c r="C340" s="7">
        <v>1990</v>
      </c>
      <c r="D340" s="8" t="s">
        <v>2133</v>
      </c>
      <c r="E340" s="8" t="s">
        <v>2134</v>
      </c>
      <c r="F340" s="8" t="s">
        <v>2003</v>
      </c>
      <c r="G340" s="6" t="s">
        <v>75</v>
      </c>
      <c r="H340" s="6" t="s">
        <v>38</v>
      </c>
      <c r="I340" s="8" t="s">
        <v>115</v>
      </c>
      <c r="J340" s="9">
        <v>1</v>
      </c>
      <c r="K340" s="9">
        <v>451</v>
      </c>
      <c r="L340" s="9">
        <v>2023</v>
      </c>
      <c r="M340" s="8" t="s">
        <v>2135</v>
      </c>
      <c r="N340" s="8" t="s">
        <v>41</v>
      </c>
      <c r="O340" s="8" t="s">
        <v>42</v>
      </c>
      <c r="P340" s="6" t="s">
        <v>78</v>
      </c>
      <c r="Q340" s="8" t="s">
        <v>67</v>
      </c>
      <c r="R340" s="10" t="s">
        <v>687</v>
      </c>
      <c r="S340" s="11" t="s">
        <v>2136</v>
      </c>
      <c r="T340" s="6"/>
      <c r="U340" s="28" t="str">
        <f>HYPERLINK("https://media.infra-m.ru/1905/1905624/cover/1905624.jpg", "Обложка")</f>
        <v>Обложка</v>
      </c>
      <c r="V340" s="28" t="str">
        <f>HYPERLINK("https://znanium.ru/catalog/product/1905624", "Ознакомиться")</f>
        <v>Ознакомиться</v>
      </c>
      <c r="W340" s="8" t="s">
        <v>119</v>
      </c>
      <c r="X340" s="6"/>
      <c r="Y340" s="6"/>
      <c r="Z340" s="6"/>
      <c r="AA340" s="6" t="s">
        <v>82</v>
      </c>
    </row>
    <row r="341" spans="1:27" s="4" customFormat="1" ht="51.95" customHeight="1">
      <c r="A341" s="5">
        <v>0</v>
      </c>
      <c r="B341" s="6" t="s">
        <v>2137</v>
      </c>
      <c r="C341" s="13">
        <v>310</v>
      </c>
      <c r="D341" s="8" t="s">
        <v>2138</v>
      </c>
      <c r="E341" s="8" t="s">
        <v>2139</v>
      </c>
      <c r="F341" s="8" t="s">
        <v>2140</v>
      </c>
      <c r="G341" s="6" t="s">
        <v>2141</v>
      </c>
      <c r="H341" s="6" t="s">
        <v>64</v>
      </c>
      <c r="I341" s="8"/>
      <c r="J341" s="9">
        <v>1</v>
      </c>
      <c r="K341" s="9">
        <v>36</v>
      </c>
      <c r="L341" s="9">
        <v>2024</v>
      </c>
      <c r="M341" s="8" t="s">
        <v>2142</v>
      </c>
      <c r="N341" s="8" t="s">
        <v>41</v>
      </c>
      <c r="O341" s="8" t="s">
        <v>56</v>
      </c>
      <c r="P341" s="6" t="s">
        <v>66</v>
      </c>
      <c r="Q341" s="8" t="s">
        <v>97</v>
      </c>
      <c r="R341" s="10" t="s">
        <v>2143</v>
      </c>
      <c r="S341" s="11"/>
      <c r="T341" s="6"/>
      <c r="U341" s="28" t="str">
        <f>HYPERLINK("https://media.infra-m.ru/1854/1854791/cover/1854791.jpg", "Обложка")</f>
        <v>Обложка</v>
      </c>
      <c r="V341" s="28" t="str">
        <f>HYPERLINK("https://znanium.ru/catalog/product/1854791", "Ознакомиться")</f>
        <v>Ознакомиться</v>
      </c>
      <c r="W341" s="8" t="s">
        <v>69</v>
      </c>
      <c r="X341" s="6"/>
      <c r="Y341" s="6"/>
      <c r="Z341" s="6"/>
      <c r="AA341" s="6" t="s">
        <v>173</v>
      </c>
    </row>
    <row r="342" spans="1:27" s="4" customFormat="1" ht="44.1" customHeight="1">
      <c r="A342" s="5">
        <v>0</v>
      </c>
      <c r="B342" s="6" t="s">
        <v>2144</v>
      </c>
      <c r="C342" s="13">
        <v>541.9</v>
      </c>
      <c r="D342" s="8" t="s">
        <v>2145</v>
      </c>
      <c r="E342" s="8" t="s">
        <v>2146</v>
      </c>
      <c r="F342" s="8" t="s">
        <v>2147</v>
      </c>
      <c r="G342" s="6" t="s">
        <v>26</v>
      </c>
      <c r="H342" s="6" t="s">
        <v>64</v>
      </c>
      <c r="I342" s="8"/>
      <c r="J342" s="14">
        <v>0</v>
      </c>
      <c r="K342" s="9">
        <v>320</v>
      </c>
      <c r="L342" s="9">
        <v>2016</v>
      </c>
      <c r="M342" s="8" t="s">
        <v>2148</v>
      </c>
      <c r="N342" s="8" t="s">
        <v>41</v>
      </c>
      <c r="O342" s="8" t="s">
        <v>56</v>
      </c>
      <c r="P342" s="6" t="s">
        <v>2149</v>
      </c>
      <c r="Q342" s="8" t="s">
        <v>44</v>
      </c>
      <c r="R342" s="10"/>
      <c r="S342" s="11"/>
      <c r="T342" s="6"/>
      <c r="U342" s="28" t="str">
        <f>HYPERLINK("https://media.infra-m.ru/0765/0765890/cover/765890.jpg", "Обложка")</f>
        <v>Обложка</v>
      </c>
      <c r="V342" s="12"/>
      <c r="W342" s="8" t="s">
        <v>1786</v>
      </c>
      <c r="X342" s="6"/>
      <c r="Y342" s="6"/>
      <c r="Z342" s="6"/>
      <c r="AA342" s="6" t="s">
        <v>89</v>
      </c>
    </row>
    <row r="343" spans="1:27" s="4" customFormat="1" ht="42" customHeight="1">
      <c r="A343" s="5">
        <v>0</v>
      </c>
      <c r="B343" s="6" t="s">
        <v>2150</v>
      </c>
      <c r="C343" s="7">
        <v>1489.9</v>
      </c>
      <c r="D343" s="8" t="s">
        <v>2151</v>
      </c>
      <c r="E343" s="8" t="s">
        <v>2152</v>
      </c>
      <c r="F343" s="8" t="s">
        <v>2153</v>
      </c>
      <c r="G343" s="6" t="s">
        <v>37</v>
      </c>
      <c r="H343" s="6" t="s">
        <v>64</v>
      </c>
      <c r="I343" s="8"/>
      <c r="J343" s="9">
        <v>1</v>
      </c>
      <c r="K343" s="9">
        <v>388</v>
      </c>
      <c r="L343" s="9">
        <v>2022</v>
      </c>
      <c r="M343" s="8" t="s">
        <v>2154</v>
      </c>
      <c r="N343" s="8" t="s">
        <v>41</v>
      </c>
      <c r="O343" s="8" t="s">
        <v>56</v>
      </c>
      <c r="P343" s="6" t="s">
        <v>78</v>
      </c>
      <c r="Q343" s="8" t="s">
        <v>67</v>
      </c>
      <c r="R343" s="10" t="s">
        <v>2155</v>
      </c>
      <c r="S343" s="11"/>
      <c r="T343" s="6"/>
      <c r="U343" s="28" t="str">
        <f>HYPERLINK("https://media.infra-m.ru/1842/1842504/cover/1842504.jpg", "Обложка")</f>
        <v>Обложка</v>
      </c>
      <c r="V343" s="28" t="str">
        <f>HYPERLINK("https://znanium.ru/catalog/product/1842504", "Ознакомиться")</f>
        <v>Ознакомиться</v>
      </c>
      <c r="W343" s="8" t="s">
        <v>1354</v>
      </c>
      <c r="X343" s="6"/>
      <c r="Y343" s="6"/>
      <c r="Z343" s="6"/>
      <c r="AA343" s="6" t="s">
        <v>688</v>
      </c>
    </row>
    <row r="344" spans="1:27" s="4" customFormat="1" ht="51.95" customHeight="1">
      <c r="A344" s="5">
        <v>0</v>
      </c>
      <c r="B344" s="6" t="s">
        <v>2156</v>
      </c>
      <c r="C344" s="13">
        <v>310</v>
      </c>
      <c r="D344" s="8" t="s">
        <v>2157</v>
      </c>
      <c r="E344" s="8" t="s">
        <v>2158</v>
      </c>
      <c r="F344" s="8" t="s">
        <v>2159</v>
      </c>
      <c r="G344" s="6" t="s">
        <v>53</v>
      </c>
      <c r="H344" s="6" t="s">
        <v>64</v>
      </c>
      <c r="I344" s="8"/>
      <c r="J344" s="9">
        <v>1</v>
      </c>
      <c r="K344" s="9">
        <v>52</v>
      </c>
      <c r="L344" s="9">
        <v>2023</v>
      </c>
      <c r="M344" s="8" t="s">
        <v>2160</v>
      </c>
      <c r="N344" s="8" t="s">
        <v>41</v>
      </c>
      <c r="O344" s="8" t="s">
        <v>56</v>
      </c>
      <c r="P344" s="6" t="s">
        <v>1451</v>
      </c>
      <c r="Q344" s="8" t="s">
        <v>97</v>
      </c>
      <c r="R344" s="10" t="s">
        <v>2161</v>
      </c>
      <c r="S344" s="11"/>
      <c r="T344" s="6"/>
      <c r="U344" s="28" t="str">
        <f>HYPERLINK("https://media.infra-m.ru/1965/1965740/cover/1965740.jpg", "Обложка")</f>
        <v>Обложка</v>
      </c>
      <c r="V344" s="28" t="str">
        <f>HYPERLINK("https://znanium.ru/catalog/product/1965740", "Ознакомиться")</f>
        <v>Ознакомиться</v>
      </c>
      <c r="W344" s="8" t="s">
        <v>69</v>
      </c>
      <c r="X344" s="6"/>
      <c r="Y344" s="6"/>
      <c r="Z344" s="6"/>
      <c r="AA344" s="6" t="s">
        <v>173</v>
      </c>
    </row>
    <row r="345" spans="1:27" s="4" customFormat="1" ht="51.95" customHeight="1">
      <c r="A345" s="5">
        <v>0</v>
      </c>
      <c r="B345" s="6" t="s">
        <v>2162</v>
      </c>
      <c r="C345" s="7">
        <v>1160</v>
      </c>
      <c r="D345" s="8" t="s">
        <v>2163</v>
      </c>
      <c r="E345" s="8" t="s">
        <v>2164</v>
      </c>
      <c r="F345" s="8" t="s">
        <v>2165</v>
      </c>
      <c r="G345" s="6" t="s">
        <v>37</v>
      </c>
      <c r="H345" s="6" t="s">
        <v>64</v>
      </c>
      <c r="I345" s="8"/>
      <c r="J345" s="9">
        <v>1</v>
      </c>
      <c r="K345" s="9">
        <v>240</v>
      </c>
      <c r="L345" s="9">
        <v>2024</v>
      </c>
      <c r="M345" s="8" t="s">
        <v>2166</v>
      </c>
      <c r="N345" s="8" t="s">
        <v>41</v>
      </c>
      <c r="O345" s="8" t="s">
        <v>56</v>
      </c>
      <c r="P345" s="6" t="s">
        <v>78</v>
      </c>
      <c r="Q345" s="8" t="s">
        <v>141</v>
      </c>
      <c r="R345" s="10" t="s">
        <v>1917</v>
      </c>
      <c r="S345" s="11"/>
      <c r="T345" s="6"/>
      <c r="U345" s="28" t="str">
        <f>HYPERLINK("https://media.infra-m.ru/2090/2090013/cover/2090013.jpg", "Обложка")</f>
        <v>Обложка</v>
      </c>
      <c r="V345" s="28" t="str">
        <f>HYPERLINK("https://znanium.ru/catalog/product/2090013", "Ознакомиться")</f>
        <v>Ознакомиться</v>
      </c>
      <c r="W345" s="8"/>
      <c r="X345" s="6" t="s">
        <v>346</v>
      </c>
      <c r="Y345" s="6"/>
      <c r="Z345" s="6"/>
      <c r="AA345" s="6" t="s">
        <v>48</v>
      </c>
    </row>
    <row r="346" spans="1:27" s="4" customFormat="1" ht="42" customHeight="1">
      <c r="A346" s="5">
        <v>0</v>
      </c>
      <c r="B346" s="6" t="s">
        <v>2167</v>
      </c>
      <c r="C346" s="13">
        <v>760</v>
      </c>
      <c r="D346" s="8" t="s">
        <v>2168</v>
      </c>
      <c r="E346" s="8" t="s">
        <v>2169</v>
      </c>
      <c r="F346" s="8" t="s">
        <v>2140</v>
      </c>
      <c r="G346" s="6" t="s">
        <v>37</v>
      </c>
      <c r="H346" s="6" t="s">
        <v>64</v>
      </c>
      <c r="I346" s="8" t="s">
        <v>199</v>
      </c>
      <c r="J346" s="9">
        <v>1</v>
      </c>
      <c r="K346" s="9">
        <v>152</v>
      </c>
      <c r="L346" s="9">
        <v>2024</v>
      </c>
      <c r="M346" s="8" t="s">
        <v>2170</v>
      </c>
      <c r="N346" s="8" t="s">
        <v>41</v>
      </c>
      <c r="O346" s="8" t="s">
        <v>56</v>
      </c>
      <c r="P346" s="6" t="s">
        <v>78</v>
      </c>
      <c r="Q346" s="8" t="s">
        <v>201</v>
      </c>
      <c r="R346" s="10" t="s">
        <v>2171</v>
      </c>
      <c r="S346" s="11"/>
      <c r="T346" s="6"/>
      <c r="U346" s="28" t="str">
        <f>HYPERLINK("https://media.infra-m.ru/2082/2082008/cover/2082008.jpg", "Обложка")</f>
        <v>Обложка</v>
      </c>
      <c r="V346" s="28" t="str">
        <f>HYPERLINK("https://znanium.ru/catalog/product/2082008", "Ознакомиться")</f>
        <v>Ознакомиться</v>
      </c>
      <c r="W346" s="8" t="s">
        <v>69</v>
      </c>
      <c r="X346" s="6" t="s">
        <v>2172</v>
      </c>
      <c r="Y346" s="6"/>
      <c r="Z346" s="6"/>
      <c r="AA346" s="6" t="s">
        <v>1959</v>
      </c>
    </row>
    <row r="347" spans="1:27" s="4" customFormat="1" ht="42" customHeight="1">
      <c r="A347" s="5">
        <v>0</v>
      </c>
      <c r="B347" s="6" t="s">
        <v>2173</v>
      </c>
      <c r="C347" s="13">
        <v>684.9</v>
      </c>
      <c r="D347" s="8" t="s">
        <v>2174</v>
      </c>
      <c r="E347" s="8" t="s">
        <v>2164</v>
      </c>
      <c r="F347" s="8" t="s">
        <v>2140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2023</v>
      </c>
      <c r="M347" s="8" t="s">
        <v>2175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2171</v>
      </c>
      <c r="S347" s="11"/>
      <c r="T347" s="6"/>
      <c r="U347" s="28" t="str">
        <f>HYPERLINK("https://media.infra-m.ru/1920/1920322/cover/1920322.jpg",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/>
      <c r="Y347" s="6"/>
      <c r="Z347" s="6"/>
      <c r="AA347" s="6" t="s">
        <v>173</v>
      </c>
    </row>
    <row r="348" spans="1:27" s="4" customFormat="1" ht="51.95" customHeight="1">
      <c r="A348" s="5">
        <v>0</v>
      </c>
      <c r="B348" s="6" t="s">
        <v>2176</v>
      </c>
      <c r="C348" s="13">
        <v>930</v>
      </c>
      <c r="D348" s="8" t="s">
        <v>2177</v>
      </c>
      <c r="E348" s="8" t="s">
        <v>2164</v>
      </c>
      <c r="F348" s="8" t="s">
        <v>2178</v>
      </c>
      <c r="G348" s="6" t="s">
        <v>75</v>
      </c>
      <c r="H348" s="6" t="s">
        <v>54</v>
      </c>
      <c r="I348" s="8" t="s">
        <v>192</v>
      </c>
      <c r="J348" s="9">
        <v>1</v>
      </c>
      <c r="K348" s="9">
        <v>206</v>
      </c>
      <c r="L348" s="9">
        <v>2023</v>
      </c>
      <c r="M348" s="8" t="s">
        <v>2179</v>
      </c>
      <c r="N348" s="8" t="s">
        <v>41</v>
      </c>
      <c r="O348" s="8" t="s">
        <v>56</v>
      </c>
      <c r="P348" s="6" t="s">
        <v>66</v>
      </c>
      <c r="Q348" s="8" t="s">
        <v>861</v>
      </c>
      <c r="R348" s="10" t="s">
        <v>2161</v>
      </c>
      <c r="S348" s="11"/>
      <c r="T348" s="6"/>
      <c r="U348" s="28" t="str">
        <f>HYPERLINK("https://media.infra-m.ru/1911/1911113/cover/1911113.jpg", "Обложка")</f>
        <v>Обложка</v>
      </c>
      <c r="V348" s="28" t="str">
        <f>HYPERLINK("https://znanium.ru/catalog/product/1911113", "Ознакомиться")</f>
        <v>Ознакомиться</v>
      </c>
      <c r="W348" s="8" t="s">
        <v>2180</v>
      </c>
      <c r="X348" s="6"/>
      <c r="Y348" s="6"/>
      <c r="Z348" s="6"/>
      <c r="AA348" s="6" t="s">
        <v>405</v>
      </c>
    </row>
    <row r="349" spans="1:27" s="4" customFormat="1" ht="51.95" customHeight="1">
      <c r="A349" s="5">
        <v>0</v>
      </c>
      <c r="B349" s="6" t="s">
        <v>2181</v>
      </c>
      <c r="C349" s="7">
        <v>1100</v>
      </c>
      <c r="D349" s="8" t="s">
        <v>2182</v>
      </c>
      <c r="E349" s="8" t="s">
        <v>2183</v>
      </c>
      <c r="F349" s="8" t="s">
        <v>2184</v>
      </c>
      <c r="G349" s="6" t="s">
        <v>75</v>
      </c>
      <c r="H349" s="6" t="s">
        <v>38</v>
      </c>
      <c r="I349" s="8" t="s">
        <v>224</v>
      </c>
      <c r="J349" s="9">
        <v>1</v>
      </c>
      <c r="K349" s="9">
        <v>239</v>
      </c>
      <c r="L349" s="9">
        <v>2023</v>
      </c>
      <c r="M349" s="8" t="s">
        <v>2185</v>
      </c>
      <c r="N349" s="8" t="s">
        <v>41</v>
      </c>
      <c r="O349" s="8" t="s">
        <v>42</v>
      </c>
      <c r="P349" s="6" t="s">
        <v>78</v>
      </c>
      <c r="Q349" s="8" t="s">
        <v>97</v>
      </c>
      <c r="R349" s="10" t="s">
        <v>486</v>
      </c>
      <c r="S349" s="11" t="s">
        <v>2186</v>
      </c>
      <c r="T349" s="6"/>
      <c r="U349" s="28" t="str">
        <f>HYPERLINK("https://media.infra-m.ru/2110/2110073/cover/2110073.jpg", "Обложка")</f>
        <v>Обложка</v>
      </c>
      <c r="V349" s="28" t="str">
        <f>HYPERLINK("https://znanium.ru/catalog/product/1851517", "Ознакомиться")</f>
        <v>Ознакомиться</v>
      </c>
      <c r="W349" s="8" t="s">
        <v>119</v>
      </c>
      <c r="X349" s="6"/>
      <c r="Y349" s="6"/>
      <c r="Z349" s="6"/>
      <c r="AA349" s="6" t="s">
        <v>688</v>
      </c>
    </row>
    <row r="350" spans="1:27" s="4" customFormat="1" ht="51.95" customHeight="1">
      <c r="A350" s="5">
        <v>0</v>
      </c>
      <c r="B350" s="6" t="s">
        <v>2187</v>
      </c>
      <c r="C350" s="13">
        <v>729.9</v>
      </c>
      <c r="D350" s="8" t="s">
        <v>2188</v>
      </c>
      <c r="E350" s="8" t="s">
        <v>2189</v>
      </c>
      <c r="F350" s="8" t="s">
        <v>2190</v>
      </c>
      <c r="G350" s="6" t="s">
        <v>75</v>
      </c>
      <c r="H350" s="6" t="s">
        <v>64</v>
      </c>
      <c r="I350" s="8"/>
      <c r="J350" s="9">
        <v>1</v>
      </c>
      <c r="K350" s="9">
        <v>160</v>
      </c>
      <c r="L350" s="9">
        <v>2022</v>
      </c>
      <c r="M350" s="8" t="s">
        <v>2191</v>
      </c>
      <c r="N350" s="8" t="s">
        <v>41</v>
      </c>
      <c r="O350" s="8" t="s">
        <v>56</v>
      </c>
      <c r="P350" s="6" t="s">
        <v>66</v>
      </c>
      <c r="Q350" s="8" t="s">
        <v>67</v>
      </c>
      <c r="R350" s="10" t="s">
        <v>2192</v>
      </c>
      <c r="S350" s="11"/>
      <c r="T350" s="6"/>
      <c r="U350" s="28" t="str">
        <f>HYPERLINK("https://media.infra-m.ru/1831/1831635/cover/1831635.jpg", "Обложка")</f>
        <v>Обложка</v>
      </c>
      <c r="V350" s="28" t="str">
        <f>HYPERLINK("https://znanium.ru/catalog/product/1831635", "Ознакомиться")</f>
        <v>Ознакомиться</v>
      </c>
      <c r="W350" s="8" t="s">
        <v>69</v>
      </c>
      <c r="X350" s="6"/>
      <c r="Y350" s="6"/>
      <c r="Z350" s="6"/>
      <c r="AA350" s="6" t="s">
        <v>304</v>
      </c>
    </row>
    <row r="351" spans="1:27" s="4" customFormat="1" ht="44.1" customHeight="1">
      <c r="A351" s="5">
        <v>0</v>
      </c>
      <c r="B351" s="6" t="s">
        <v>2193</v>
      </c>
      <c r="C351" s="13">
        <v>590</v>
      </c>
      <c r="D351" s="8" t="s">
        <v>2194</v>
      </c>
      <c r="E351" s="8" t="s">
        <v>2195</v>
      </c>
      <c r="F351" s="8" t="s">
        <v>2190</v>
      </c>
      <c r="G351" s="6" t="s">
        <v>37</v>
      </c>
      <c r="H351" s="6" t="s">
        <v>64</v>
      </c>
      <c r="I351" s="8" t="s">
        <v>199</v>
      </c>
      <c r="J351" s="9">
        <v>1</v>
      </c>
      <c r="K351" s="9">
        <v>160</v>
      </c>
      <c r="L351" s="9">
        <v>2019</v>
      </c>
      <c r="M351" s="8" t="s">
        <v>2196</v>
      </c>
      <c r="N351" s="8" t="s">
        <v>41</v>
      </c>
      <c r="O351" s="8" t="s">
        <v>56</v>
      </c>
      <c r="P351" s="6" t="s">
        <v>66</v>
      </c>
      <c r="Q351" s="8" t="s">
        <v>201</v>
      </c>
      <c r="R351" s="10" t="s">
        <v>1084</v>
      </c>
      <c r="S351" s="11"/>
      <c r="T351" s="6"/>
      <c r="U351" s="28" t="str">
        <f>HYPERLINK("https://media.infra-m.ru/1029/1029669/cover/1029669.jpg", "Обложка")</f>
        <v>Обложка</v>
      </c>
      <c r="V351" s="28" t="str">
        <f>HYPERLINK("https://znanium.ru/catalog/product/1029669", "Ознакомиться")</f>
        <v>Ознакомиться</v>
      </c>
      <c r="W351" s="8" t="s">
        <v>69</v>
      </c>
      <c r="X351" s="6"/>
      <c r="Y351" s="6"/>
      <c r="Z351" s="6" t="s">
        <v>1085</v>
      </c>
      <c r="AA351" s="6" t="s">
        <v>173</v>
      </c>
    </row>
    <row r="352" spans="1:27" s="4" customFormat="1" ht="51.95" customHeight="1">
      <c r="A352" s="5">
        <v>0</v>
      </c>
      <c r="B352" s="6" t="s">
        <v>2197</v>
      </c>
      <c r="C352" s="13">
        <v>650</v>
      </c>
      <c r="D352" s="8" t="s">
        <v>2198</v>
      </c>
      <c r="E352" s="8" t="s">
        <v>2195</v>
      </c>
      <c r="F352" s="8" t="s">
        <v>2190</v>
      </c>
      <c r="G352" s="6" t="s">
        <v>75</v>
      </c>
      <c r="H352" s="6" t="s">
        <v>64</v>
      </c>
      <c r="I352" s="8"/>
      <c r="J352" s="9">
        <v>1</v>
      </c>
      <c r="K352" s="9">
        <v>160</v>
      </c>
      <c r="L352" s="9">
        <v>2021</v>
      </c>
      <c r="M352" s="8" t="s">
        <v>2199</v>
      </c>
      <c r="N352" s="8" t="s">
        <v>41</v>
      </c>
      <c r="O352" s="8" t="s">
        <v>56</v>
      </c>
      <c r="P352" s="6" t="s">
        <v>66</v>
      </c>
      <c r="Q352" s="8" t="s">
        <v>67</v>
      </c>
      <c r="R352" s="10" t="s">
        <v>2192</v>
      </c>
      <c r="S352" s="11"/>
      <c r="T352" s="6"/>
      <c r="U352" s="28" t="str">
        <f>HYPERLINK("https://media.infra-m.ru/1224/1224742/cover/1224742.jpg", "Обложка")</f>
        <v>Обложка</v>
      </c>
      <c r="V352" s="28" t="str">
        <f>HYPERLINK("https://znanium.ru/catalog/product/1831635", "Ознакомиться")</f>
        <v>Ознакомиться</v>
      </c>
      <c r="W352" s="8" t="s">
        <v>69</v>
      </c>
      <c r="X352" s="6"/>
      <c r="Y352" s="6"/>
      <c r="Z352" s="6"/>
      <c r="AA352" s="6" t="s">
        <v>82</v>
      </c>
    </row>
    <row r="353" spans="1:27" s="4" customFormat="1" ht="51.95" customHeight="1">
      <c r="A353" s="5">
        <v>0</v>
      </c>
      <c r="B353" s="6" t="s">
        <v>2200</v>
      </c>
      <c r="C353" s="13">
        <v>810</v>
      </c>
      <c r="D353" s="8" t="s">
        <v>2201</v>
      </c>
      <c r="E353" s="8" t="s">
        <v>2202</v>
      </c>
      <c r="F353" s="8" t="s">
        <v>2203</v>
      </c>
      <c r="G353" s="6" t="s">
        <v>37</v>
      </c>
      <c r="H353" s="6" t="s">
        <v>38</v>
      </c>
      <c r="I353" s="8" t="s">
        <v>859</v>
      </c>
      <c r="J353" s="9">
        <v>1</v>
      </c>
      <c r="K353" s="9">
        <v>221</v>
      </c>
      <c r="L353" s="9">
        <v>2020</v>
      </c>
      <c r="M353" s="8" t="s">
        <v>2204</v>
      </c>
      <c r="N353" s="8" t="s">
        <v>41</v>
      </c>
      <c r="O353" s="8" t="s">
        <v>42</v>
      </c>
      <c r="P353" s="6" t="s">
        <v>66</v>
      </c>
      <c r="Q353" s="8" t="s">
        <v>861</v>
      </c>
      <c r="R353" s="10" t="s">
        <v>2205</v>
      </c>
      <c r="S353" s="11" t="s">
        <v>2206</v>
      </c>
      <c r="T353" s="6"/>
      <c r="U353" s="28" t="str">
        <f>HYPERLINK("https://media.infra-m.ru/1048/1048562/cover/1048562.jpg", "Обложка")</f>
        <v>Обложка</v>
      </c>
      <c r="V353" s="28" t="str">
        <f>HYPERLINK("https://znanium.ru/catalog/product/1048562", "Ознакомиться")</f>
        <v>Ознакомиться</v>
      </c>
      <c r="W353" s="8" t="s">
        <v>1578</v>
      </c>
      <c r="X353" s="6"/>
      <c r="Y353" s="6"/>
      <c r="Z353" s="6"/>
      <c r="AA353" s="6" t="s">
        <v>405</v>
      </c>
    </row>
    <row r="354" spans="1:27" s="4" customFormat="1" ht="42" customHeight="1">
      <c r="A354" s="5">
        <v>0</v>
      </c>
      <c r="B354" s="6" t="s">
        <v>2207</v>
      </c>
      <c r="C354" s="13">
        <v>990</v>
      </c>
      <c r="D354" s="8" t="s">
        <v>2208</v>
      </c>
      <c r="E354" s="8" t="s">
        <v>2209</v>
      </c>
      <c r="F354" s="8" t="s">
        <v>2210</v>
      </c>
      <c r="G354" s="6" t="s">
        <v>53</v>
      </c>
      <c r="H354" s="6" t="s">
        <v>132</v>
      </c>
      <c r="I354" s="8" t="s">
        <v>1191</v>
      </c>
      <c r="J354" s="9">
        <v>1</v>
      </c>
      <c r="K354" s="9">
        <v>222</v>
      </c>
      <c r="L354" s="9">
        <v>2018</v>
      </c>
      <c r="M354" s="8" t="s">
        <v>2211</v>
      </c>
      <c r="N354" s="8" t="s">
        <v>41</v>
      </c>
      <c r="O354" s="8" t="s">
        <v>42</v>
      </c>
      <c r="P354" s="6" t="s">
        <v>43</v>
      </c>
      <c r="Q354" s="8" t="s">
        <v>44</v>
      </c>
      <c r="R354" s="10" t="s">
        <v>2212</v>
      </c>
      <c r="S354" s="11"/>
      <c r="T354" s="6"/>
      <c r="U354" s="28" t="str">
        <f>HYPERLINK("https://media.infra-m.ru/1947/1947353/cover/1947353.jpg", "Обложка")</f>
        <v>Обложка</v>
      </c>
      <c r="V354" s="28" t="str">
        <f>HYPERLINK("https://znanium.ru/catalog/product/968739", "Ознакомиться")</f>
        <v>Ознакомиться</v>
      </c>
      <c r="W354" s="8" t="s">
        <v>893</v>
      </c>
      <c r="X354" s="6"/>
      <c r="Y354" s="6"/>
      <c r="Z354" s="6"/>
      <c r="AA354" s="6" t="s">
        <v>321</v>
      </c>
    </row>
    <row r="355" spans="1:27" s="4" customFormat="1" ht="51.95" customHeight="1">
      <c r="A355" s="5">
        <v>0</v>
      </c>
      <c r="B355" s="6" t="s">
        <v>2213</v>
      </c>
      <c r="C355" s="13">
        <v>410</v>
      </c>
      <c r="D355" s="8" t="s">
        <v>2214</v>
      </c>
      <c r="E355" s="8" t="s">
        <v>2215</v>
      </c>
      <c r="F355" s="8" t="s">
        <v>2216</v>
      </c>
      <c r="G355" s="6" t="s">
        <v>53</v>
      </c>
      <c r="H355" s="6" t="s">
        <v>38</v>
      </c>
      <c r="I355" s="8" t="s">
        <v>39</v>
      </c>
      <c r="J355" s="9">
        <v>1</v>
      </c>
      <c r="K355" s="9">
        <v>131</v>
      </c>
      <c r="L355" s="9">
        <v>2018</v>
      </c>
      <c r="M355" s="8" t="s">
        <v>2217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2218</v>
      </c>
      <c r="S355" s="11"/>
      <c r="T355" s="6"/>
      <c r="U355" s="28" t="str">
        <f>HYPERLINK("https://media.infra-m.ru/0924/0924969/cover/924969.jpg", "Обложка")</f>
        <v>Обложка</v>
      </c>
      <c r="V355" s="28" t="str">
        <f>HYPERLINK("https://znanium.ru/catalog/product/924969", "Ознакомиться")</f>
        <v>Ознакомиться</v>
      </c>
      <c r="W355" s="8" t="s">
        <v>46</v>
      </c>
      <c r="X355" s="6"/>
      <c r="Y355" s="6"/>
      <c r="Z355" s="6"/>
      <c r="AA355" s="6" t="s">
        <v>89</v>
      </c>
    </row>
    <row r="356" spans="1:27" s="4" customFormat="1" ht="51.95" customHeight="1">
      <c r="A356" s="5">
        <v>0</v>
      </c>
      <c r="B356" s="6" t="s">
        <v>2219</v>
      </c>
      <c r="C356" s="13">
        <v>774.9</v>
      </c>
      <c r="D356" s="8" t="s">
        <v>2220</v>
      </c>
      <c r="E356" s="8" t="s">
        <v>2221</v>
      </c>
      <c r="F356" s="8" t="s">
        <v>2222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190</v>
      </c>
      <c r="L356" s="9">
        <v>2022</v>
      </c>
      <c r="M356" s="8" t="s">
        <v>2223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2224</v>
      </c>
      <c r="S356" s="11"/>
      <c r="T356" s="6"/>
      <c r="U356" s="28" t="str">
        <f>HYPERLINK("https://media.infra-m.ru/1844/1844466/cover/1844466.jpg", "Обложка")</f>
        <v>Обложка</v>
      </c>
      <c r="V356" s="28" t="str">
        <f>HYPERLINK("https://znanium.ru/catalog/product/1080130", "Ознакомиться")</f>
        <v>Ознакомиться</v>
      </c>
      <c r="W356" s="8" t="s">
        <v>2225</v>
      </c>
      <c r="X356" s="6"/>
      <c r="Y356" s="6"/>
      <c r="Z356" s="6"/>
      <c r="AA356" s="6" t="s">
        <v>405</v>
      </c>
    </row>
    <row r="357" spans="1:27" s="4" customFormat="1" ht="51.95" customHeight="1">
      <c r="A357" s="5">
        <v>0</v>
      </c>
      <c r="B357" s="6" t="s">
        <v>2226</v>
      </c>
      <c r="C357" s="13">
        <v>910</v>
      </c>
      <c r="D357" s="8" t="s">
        <v>2227</v>
      </c>
      <c r="E357" s="8" t="s">
        <v>2228</v>
      </c>
      <c r="F357" s="8" t="s">
        <v>191</v>
      </c>
      <c r="G357" s="6" t="s">
        <v>53</v>
      </c>
      <c r="H357" s="6" t="s">
        <v>38</v>
      </c>
      <c r="I357" s="8" t="s">
        <v>39</v>
      </c>
      <c r="J357" s="9">
        <v>1</v>
      </c>
      <c r="K357" s="9">
        <v>188</v>
      </c>
      <c r="L357" s="9">
        <v>2024</v>
      </c>
      <c r="M357" s="8" t="s">
        <v>2229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2230</v>
      </c>
      <c r="S357" s="11"/>
      <c r="T357" s="6"/>
      <c r="U357" s="28" t="str">
        <f>HYPERLINK("https://media.infra-m.ru/2021/2021345/cover/2021345.jpg", "Обложка")</f>
        <v>Обложка</v>
      </c>
      <c r="V357" s="28" t="str">
        <f>HYPERLINK("https://znanium.ru/catalog/product/2021345", "Ознакомиться")</f>
        <v>Ознакомиться</v>
      </c>
      <c r="W357" s="8" t="s">
        <v>196</v>
      </c>
      <c r="X357" s="6" t="s">
        <v>1186</v>
      </c>
      <c r="Y357" s="6"/>
      <c r="Z357" s="6"/>
      <c r="AA357" s="6" t="s">
        <v>48</v>
      </c>
    </row>
    <row r="358" spans="1:27" s="4" customFormat="1" ht="42" customHeight="1">
      <c r="A358" s="5">
        <v>0</v>
      </c>
      <c r="B358" s="6" t="s">
        <v>2231</v>
      </c>
      <c r="C358" s="7">
        <v>2000</v>
      </c>
      <c r="D358" s="8" t="s">
        <v>2232</v>
      </c>
      <c r="E358" s="8" t="s">
        <v>2233</v>
      </c>
      <c r="F358" s="8" t="s">
        <v>2234</v>
      </c>
      <c r="G358" s="6" t="s">
        <v>37</v>
      </c>
      <c r="H358" s="6" t="s">
        <v>38</v>
      </c>
      <c r="I358" s="8" t="s">
        <v>39</v>
      </c>
      <c r="J358" s="9">
        <v>1</v>
      </c>
      <c r="K358" s="9">
        <v>436</v>
      </c>
      <c r="L358" s="9">
        <v>2024</v>
      </c>
      <c r="M358" s="8" t="s">
        <v>2235</v>
      </c>
      <c r="N358" s="8" t="s">
        <v>41</v>
      </c>
      <c r="O358" s="8" t="s">
        <v>42</v>
      </c>
      <c r="P358" s="6" t="s">
        <v>43</v>
      </c>
      <c r="Q358" s="8" t="s">
        <v>44</v>
      </c>
      <c r="R358" s="10" t="s">
        <v>2236</v>
      </c>
      <c r="S358" s="11"/>
      <c r="T358" s="6"/>
      <c r="U358" s="28" t="str">
        <f>HYPERLINK("https://media.infra-m.ru/2109/2109537/cover/2109537.jpg", "Обложка")</f>
        <v>Обложка</v>
      </c>
      <c r="V358" s="28" t="str">
        <f>HYPERLINK("https://znanium.ru/catalog/product/2109537", "Ознакомиться")</f>
        <v>Ознакомиться</v>
      </c>
      <c r="W358" s="8" t="s">
        <v>328</v>
      </c>
      <c r="X358" s="6"/>
      <c r="Y358" s="6"/>
      <c r="Z358" s="6"/>
      <c r="AA358" s="6" t="s">
        <v>120</v>
      </c>
    </row>
    <row r="359" spans="1:27" s="4" customFormat="1" ht="51.95" customHeight="1">
      <c r="A359" s="5">
        <v>0</v>
      </c>
      <c r="B359" s="6" t="s">
        <v>2237</v>
      </c>
      <c r="C359" s="13">
        <v>894</v>
      </c>
      <c r="D359" s="8" t="s">
        <v>2238</v>
      </c>
      <c r="E359" s="8" t="s">
        <v>2239</v>
      </c>
      <c r="F359" s="8" t="s">
        <v>2240</v>
      </c>
      <c r="G359" s="6" t="s">
        <v>75</v>
      </c>
      <c r="H359" s="6" t="s">
        <v>64</v>
      </c>
      <c r="I359" s="8"/>
      <c r="J359" s="9">
        <v>1</v>
      </c>
      <c r="K359" s="9">
        <v>192</v>
      </c>
      <c r="L359" s="9">
        <v>2023</v>
      </c>
      <c r="M359" s="8" t="s">
        <v>2241</v>
      </c>
      <c r="N359" s="8" t="s">
        <v>41</v>
      </c>
      <c r="O359" s="8" t="s">
        <v>56</v>
      </c>
      <c r="P359" s="6" t="s">
        <v>43</v>
      </c>
      <c r="Q359" s="8" t="s">
        <v>44</v>
      </c>
      <c r="R359" s="10" t="s">
        <v>2242</v>
      </c>
      <c r="S359" s="11"/>
      <c r="T359" s="6"/>
      <c r="U359" s="28" t="str">
        <f>HYPERLINK("https://media.infra-m.ru/2076/2076891/cover/2076891.jpg", "Обложка")</f>
        <v>Обложка</v>
      </c>
      <c r="V359" s="28" t="str">
        <f>HYPERLINK("https://znanium.ru/catalog/product/2073365", "Ознакомиться")</f>
        <v>Ознакомиться</v>
      </c>
      <c r="W359" s="8" t="s">
        <v>1199</v>
      </c>
      <c r="X359" s="6"/>
      <c r="Y359" s="6"/>
      <c r="Z359" s="6"/>
      <c r="AA359" s="6" t="s">
        <v>70</v>
      </c>
    </row>
    <row r="360" spans="1:27" s="4" customFormat="1" ht="42" customHeight="1">
      <c r="A360" s="5">
        <v>0</v>
      </c>
      <c r="B360" s="6" t="s">
        <v>2243</v>
      </c>
      <c r="C360" s="13">
        <v>630</v>
      </c>
      <c r="D360" s="8" t="s">
        <v>2244</v>
      </c>
      <c r="E360" s="8" t="s">
        <v>2245</v>
      </c>
      <c r="F360" s="8" t="s">
        <v>2246</v>
      </c>
      <c r="G360" s="6" t="s">
        <v>37</v>
      </c>
      <c r="H360" s="6" t="s">
        <v>352</v>
      </c>
      <c r="I360" s="8"/>
      <c r="J360" s="9">
        <v>1</v>
      </c>
      <c r="K360" s="9">
        <v>160</v>
      </c>
      <c r="L360" s="9">
        <v>2021</v>
      </c>
      <c r="M360" s="8" t="s">
        <v>2247</v>
      </c>
      <c r="N360" s="8" t="s">
        <v>41</v>
      </c>
      <c r="O360" s="8" t="s">
        <v>42</v>
      </c>
      <c r="P360" s="6" t="s">
        <v>66</v>
      </c>
      <c r="Q360" s="8" t="s">
        <v>97</v>
      </c>
      <c r="R360" s="10" t="s">
        <v>558</v>
      </c>
      <c r="S360" s="11"/>
      <c r="T360" s="6"/>
      <c r="U360" s="28" t="str">
        <f>HYPERLINK("https://media.infra-m.ru/1819/1819399/cover/1819399.jpg", "Обложка")</f>
        <v>Обложка</v>
      </c>
      <c r="V360" s="12"/>
      <c r="W360" s="8" t="s">
        <v>817</v>
      </c>
      <c r="X360" s="6"/>
      <c r="Y360" s="6"/>
      <c r="Z360" s="6"/>
      <c r="AA360" s="6" t="s">
        <v>70</v>
      </c>
    </row>
    <row r="361" spans="1:27" s="4" customFormat="1" ht="51.95" customHeight="1">
      <c r="A361" s="5">
        <v>0</v>
      </c>
      <c r="B361" s="6" t="s">
        <v>2248</v>
      </c>
      <c r="C361" s="13">
        <v>804.9</v>
      </c>
      <c r="D361" s="8" t="s">
        <v>2249</v>
      </c>
      <c r="E361" s="8" t="s">
        <v>2250</v>
      </c>
      <c r="F361" s="8" t="s">
        <v>2251</v>
      </c>
      <c r="G361" s="6" t="s">
        <v>37</v>
      </c>
      <c r="H361" s="6" t="s">
        <v>38</v>
      </c>
      <c r="I361" s="8" t="s">
        <v>39</v>
      </c>
      <c r="J361" s="9">
        <v>1</v>
      </c>
      <c r="K361" s="9">
        <v>229</v>
      </c>
      <c r="L361" s="9">
        <v>2020</v>
      </c>
      <c r="M361" s="8" t="s">
        <v>2252</v>
      </c>
      <c r="N361" s="8" t="s">
        <v>41</v>
      </c>
      <c r="O361" s="8" t="s">
        <v>42</v>
      </c>
      <c r="P361" s="6" t="s">
        <v>43</v>
      </c>
      <c r="Q361" s="8" t="s">
        <v>44</v>
      </c>
      <c r="R361" s="10" t="s">
        <v>1229</v>
      </c>
      <c r="S361" s="11"/>
      <c r="T361" s="6"/>
      <c r="U361" s="28" t="str">
        <f>HYPERLINK("https://media.infra-m.ru/1047/1047180/cover/1047180.jpg", "Обложка")</f>
        <v>Обложка</v>
      </c>
      <c r="V361" s="28" t="str">
        <f>HYPERLINK("https://znanium.ru/catalog/product/1047180", "Ознакомиться")</f>
        <v>Ознакомиться</v>
      </c>
      <c r="W361" s="8" t="s">
        <v>1310</v>
      </c>
      <c r="X361" s="6"/>
      <c r="Y361" s="6"/>
      <c r="Z361" s="6"/>
      <c r="AA361" s="6" t="s">
        <v>213</v>
      </c>
    </row>
    <row r="362" spans="1:27" s="4" customFormat="1" ht="51.95" customHeight="1">
      <c r="A362" s="5">
        <v>0</v>
      </c>
      <c r="B362" s="6" t="s">
        <v>2253</v>
      </c>
      <c r="C362" s="7">
        <v>1244</v>
      </c>
      <c r="D362" s="8" t="s">
        <v>2254</v>
      </c>
      <c r="E362" s="8" t="s">
        <v>2255</v>
      </c>
      <c r="F362" s="8" t="s">
        <v>2256</v>
      </c>
      <c r="G362" s="6" t="s">
        <v>37</v>
      </c>
      <c r="H362" s="6" t="s">
        <v>38</v>
      </c>
      <c r="I362" s="8" t="s">
        <v>39</v>
      </c>
      <c r="J362" s="9">
        <v>1</v>
      </c>
      <c r="K362" s="9">
        <v>237</v>
      </c>
      <c r="L362" s="9">
        <v>2023</v>
      </c>
      <c r="M362" s="8" t="s">
        <v>2257</v>
      </c>
      <c r="N362" s="8" t="s">
        <v>41</v>
      </c>
      <c r="O362" s="8" t="s">
        <v>42</v>
      </c>
      <c r="P362" s="6" t="s">
        <v>43</v>
      </c>
      <c r="Q362" s="8" t="s">
        <v>44</v>
      </c>
      <c r="R362" s="10" t="s">
        <v>2258</v>
      </c>
      <c r="S362" s="11"/>
      <c r="T362" s="6"/>
      <c r="U362" s="28" t="str">
        <f>HYPERLINK("https://media.infra-m.ru/2126/2126622/cover/2126622.jpg", "Обложка")</f>
        <v>Обложка</v>
      </c>
      <c r="V362" s="28" t="str">
        <f>HYPERLINK("https://znanium.ru/catalog/product/1989302", "Ознакомиться")</f>
        <v>Ознакомиться</v>
      </c>
      <c r="W362" s="8" t="s">
        <v>109</v>
      </c>
      <c r="X362" s="6"/>
      <c r="Y362" s="6"/>
      <c r="Z362" s="6"/>
      <c r="AA362" s="6" t="s">
        <v>120</v>
      </c>
    </row>
    <row r="363" spans="1:27" s="4" customFormat="1" ht="51.95" customHeight="1">
      <c r="A363" s="5">
        <v>0</v>
      </c>
      <c r="B363" s="6" t="s">
        <v>2259</v>
      </c>
      <c r="C363" s="7">
        <v>1650</v>
      </c>
      <c r="D363" s="8" t="s">
        <v>2260</v>
      </c>
      <c r="E363" s="8" t="s">
        <v>2261</v>
      </c>
      <c r="F363" s="8" t="s">
        <v>2262</v>
      </c>
      <c r="G363" s="6" t="s">
        <v>53</v>
      </c>
      <c r="H363" s="6" t="s">
        <v>1450</v>
      </c>
      <c r="I363" s="8"/>
      <c r="J363" s="9">
        <v>1</v>
      </c>
      <c r="K363" s="9">
        <v>270</v>
      </c>
      <c r="L363" s="9">
        <v>2024</v>
      </c>
      <c r="M363" s="8" t="s">
        <v>2263</v>
      </c>
      <c r="N363" s="8" t="s">
        <v>41</v>
      </c>
      <c r="O363" s="8" t="s">
        <v>42</v>
      </c>
      <c r="P363" s="6" t="s">
        <v>66</v>
      </c>
      <c r="Q363" s="8" t="s">
        <v>97</v>
      </c>
      <c r="R363" s="10" t="s">
        <v>2264</v>
      </c>
      <c r="S363" s="11"/>
      <c r="T363" s="6"/>
      <c r="U363" s="28" t="str">
        <f>HYPERLINK("https://media.infra-m.ru/2126/2126827/cover/2126827.jpg", "Обложка")</f>
        <v>Обложка</v>
      </c>
      <c r="V363" s="28" t="str">
        <f>HYPERLINK("https://znanium.ru/catalog/product/2126827", "Ознакомиться")</f>
        <v>Ознакомиться</v>
      </c>
      <c r="W363" s="8" t="s">
        <v>119</v>
      </c>
      <c r="X363" s="6"/>
      <c r="Y363" s="6"/>
      <c r="Z363" s="6"/>
      <c r="AA363" s="6" t="s">
        <v>2265</v>
      </c>
    </row>
    <row r="364" spans="1:27" s="4" customFormat="1" ht="51.95" customHeight="1">
      <c r="A364" s="5">
        <v>0</v>
      </c>
      <c r="B364" s="6" t="s">
        <v>2266</v>
      </c>
      <c r="C364" s="13">
        <v>625</v>
      </c>
      <c r="D364" s="8" t="s">
        <v>2267</v>
      </c>
      <c r="E364" s="8" t="s">
        <v>2268</v>
      </c>
      <c r="F364" s="8" t="s">
        <v>2262</v>
      </c>
      <c r="G364" s="6" t="s">
        <v>53</v>
      </c>
      <c r="H364" s="6" t="s">
        <v>1450</v>
      </c>
      <c r="I364" s="8"/>
      <c r="J364" s="9">
        <v>10</v>
      </c>
      <c r="K364" s="9">
        <v>270</v>
      </c>
      <c r="L364" s="9">
        <v>2018</v>
      </c>
      <c r="M364" s="8" t="s">
        <v>2269</v>
      </c>
      <c r="N364" s="8" t="s">
        <v>41</v>
      </c>
      <c r="O364" s="8" t="s">
        <v>42</v>
      </c>
      <c r="P364" s="6" t="s">
        <v>66</v>
      </c>
      <c r="Q364" s="8" t="s">
        <v>97</v>
      </c>
      <c r="R364" s="10" t="s">
        <v>2264</v>
      </c>
      <c r="S364" s="11"/>
      <c r="T364" s="6"/>
      <c r="U364" s="12"/>
      <c r="V364" s="28" t="str">
        <f>HYPERLINK("https://znanium.ru/catalog/product/2126827", "Ознакомиться")</f>
        <v>Ознакомиться</v>
      </c>
      <c r="W364" s="8" t="s">
        <v>119</v>
      </c>
      <c r="X364" s="6"/>
      <c r="Y364" s="6"/>
      <c r="Z364" s="6"/>
      <c r="AA364" s="6" t="s">
        <v>159</v>
      </c>
    </row>
    <row r="365" spans="1:27" s="4" customFormat="1" ht="51.95" customHeight="1">
      <c r="A365" s="5">
        <v>0</v>
      </c>
      <c r="B365" s="6" t="s">
        <v>2270</v>
      </c>
      <c r="C365" s="7">
        <v>1324</v>
      </c>
      <c r="D365" s="8" t="s">
        <v>2271</v>
      </c>
      <c r="E365" s="8" t="s">
        <v>2272</v>
      </c>
      <c r="F365" s="8" t="s">
        <v>2273</v>
      </c>
      <c r="G365" s="6" t="s">
        <v>37</v>
      </c>
      <c r="H365" s="6" t="s">
        <v>333</v>
      </c>
      <c r="I365" s="8" t="s">
        <v>334</v>
      </c>
      <c r="J365" s="9">
        <v>1</v>
      </c>
      <c r="K365" s="9">
        <v>288</v>
      </c>
      <c r="L365" s="9">
        <v>2023</v>
      </c>
      <c r="M365" s="8" t="s">
        <v>2274</v>
      </c>
      <c r="N365" s="8" t="s">
        <v>41</v>
      </c>
      <c r="O365" s="8" t="s">
        <v>42</v>
      </c>
      <c r="P365" s="6" t="s">
        <v>66</v>
      </c>
      <c r="Q365" s="8" t="s">
        <v>201</v>
      </c>
      <c r="R365" s="10" t="s">
        <v>336</v>
      </c>
      <c r="S365" s="11" t="s">
        <v>2275</v>
      </c>
      <c r="T365" s="6"/>
      <c r="U365" s="28" t="str">
        <f>HYPERLINK("https://media.infra-m.ru/2015/2015302/cover/2015302.jpg", "Обложка")</f>
        <v>Обложка</v>
      </c>
      <c r="V365" s="28" t="str">
        <f>HYPERLINK("https://znanium.ru/catalog/product/1836608", "Ознакомиться")</f>
        <v>Ознакомиться</v>
      </c>
      <c r="W365" s="8" t="s">
        <v>119</v>
      </c>
      <c r="X365" s="6"/>
      <c r="Y365" s="6"/>
      <c r="Z365" s="6"/>
      <c r="AA365" s="6" t="s">
        <v>633</v>
      </c>
    </row>
    <row r="366" spans="1:27" s="4" customFormat="1" ht="51.95" customHeight="1">
      <c r="A366" s="5">
        <v>0</v>
      </c>
      <c r="B366" s="6" t="s">
        <v>2276</v>
      </c>
      <c r="C366" s="7">
        <v>1444.9</v>
      </c>
      <c r="D366" s="8" t="s">
        <v>2277</v>
      </c>
      <c r="E366" s="8" t="s">
        <v>2278</v>
      </c>
      <c r="F366" s="8" t="s">
        <v>2279</v>
      </c>
      <c r="G366" s="6" t="s">
        <v>53</v>
      </c>
      <c r="H366" s="6" t="s">
        <v>54</v>
      </c>
      <c r="I366" s="8" t="s">
        <v>39</v>
      </c>
      <c r="J366" s="9">
        <v>1</v>
      </c>
      <c r="K366" s="9">
        <v>337</v>
      </c>
      <c r="L366" s="9">
        <v>2019</v>
      </c>
      <c r="M366" s="8" t="s">
        <v>2280</v>
      </c>
      <c r="N366" s="8" t="s">
        <v>41</v>
      </c>
      <c r="O366" s="8" t="s">
        <v>96</v>
      </c>
      <c r="P366" s="6" t="s">
        <v>43</v>
      </c>
      <c r="Q366" s="8" t="s">
        <v>44</v>
      </c>
      <c r="R366" s="10" t="s">
        <v>2281</v>
      </c>
      <c r="S366" s="11"/>
      <c r="T366" s="6"/>
      <c r="U366" s="28" t="str">
        <f>HYPERLINK("https://media.infra-m.ru/1010/1010096/cover/1010096.jpg", "Обложка")</f>
        <v>Обложка</v>
      </c>
      <c r="V366" s="28" t="str">
        <f>HYPERLINK("https://znanium.ru/catalog/product/1010096", "Ознакомиться")</f>
        <v>Ознакомиться</v>
      </c>
      <c r="W366" s="8" t="s">
        <v>757</v>
      </c>
      <c r="X366" s="6"/>
      <c r="Y366" s="6"/>
      <c r="Z366" s="6"/>
      <c r="AA366" s="6" t="s">
        <v>59</v>
      </c>
    </row>
    <row r="367" spans="1:27" s="4" customFormat="1" ht="51.95" customHeight="1">
      <c r="A367" s="5">
        <v>0</v>
      </c>
      <c r="B367" s="6" t="s">
        <v>2282</v>
      </c>
      <c r="C367" s="13">
        <v>984</v>
      </c>
      <c r="D367" s="8" t="s">
        <v>2283</v>
      </c>
      <c r="E367" s="8" t="s">
        <v>2284</v>
      </c>
      <c r="F367" s="8" t="s">
        <v>419</v>
      </c>
      <c r="G367" s="6" t="s">
        <v>75</v>
      </c>
      <c r="H367" s="6" t="s">
        <v>38</v>
      </c>
      <c r="I367" s="8" t="s">
        <v>199</v>
      </c>
      <c r="J367" s="9">
        <v>1</v>
      </c>
      <c r="K367" s="9">
        <v>212</v>
      </c>
      <c r="L367" s="9">
        <v>2024</v>
      </c>
      <c r="M367" s="8" t="s">
        <v>2285</v>
      </c>
      <c r="N367" s="8" t="s">
        <v>41</v>
      </c>
      <c r="O367" s="8" t="s">
        <v>42</v>
      </c>
      <c r="P367" s="6" t="s">
        <v>78</v>
      </c>
      <c r="Q367" s="8" t="s">
        <v>201</v>
      </c>
      <c r="R367" s="10" t="s">
        <v>336</v>
      </c>
      <c r="S367" s="11" t="s">
        <v>2286</v>
      </c>
      <c r="T367" s="6"/>
      <c r="U367" s="28" t="str">
        <f>HYPERLINK("https://media.infra-m.ru/2118/2118075/cover/2118075.jpg", "Обложка")</f>
        <v>Обложка</v>
      </c>
      <c r="V367" s="28" t="str">
        <f>HYPERLINK("https://znanium.ru/catalog/product/2104829", "Ознакомиться")</f>
        <v>Ознакомиться</v>
      </c>
      <c r="W367" s="8" t="s">
        <v>109</v>
      </c>
      <c r="X367" s="6"/>
      <c r="Y367" s="6"/>
      <c r="Z367" s="6"/>
      <c r="AA367" s="6" t="s">
        <v>405</v>
      </c>
    </row>
    <row r="368" spans="1:27" s="4" customFormat="1" ht="51.95" customHeight="1">
      <c r="A368" s="5">
        <v>0</v>
      </c>
      <c r="B368" s="6" t="s">
        <v>2287</v>
      </c>
      <c r="C368" s="7">
        <v>2224.9</v>
      </c>
      <c r="D368" s="8" t="s">
        <v>2288</v>
      </c>
      <c r="E368" s="8" t="s">
        <v>2289</v>
      </c>
      <c r="F368" s="8" t="s">
        <v>2290</v>
      </c>
      <c r="G368" s="6" t="s">
        <v>75</v>
      </c>
      <c r="H368" s="6" t="s">
        <v>333</v>
      </c>
      <c r="I368" s="8" t="s">
        <v>141</v>
      </c>
      <c r="J368" s="9">
        <v>1</v>
      </c>
      <c r="K368" s="9">
        <v>496</v>
      </c>
      <c r="L368" s="9">
        <v>2023</v>
      </c>
      <c r="M368" s="8" t="s">
        <v>2291</v>
      </c>
      <c r="N368" s="8" t="s">
        <v>41</v>
      </c>
      <c r="O368" s="8" t="s">
        <v>42</v>
      </c>
      <c r="P368" s="6" t="s">
        <v>78</v>
      </c>
      <c r="Q368" s="8" t="s">
        <v>201</v>
      </c>
      <c r="R368" s="10" t="s">
        <v>336</v>
      </c>
      <c r="S368" s="11" t="s">
        <v>2292</v>
      </c>
      <c r="T368" s="6"/>
      <c r="U368" s="28" t="str">
        <f>HYPERLINK("https://media.infra-m.ru/1981/1981669/cover/1981669.jpg", "Обложка")</f>
        <v>Обложка</v>
      </c>
      <c r="V368" s="28" t="str">
        <f>HYPERLINK("https://znanium.ru/catalog/product/960015", "Ознакомиться")</f>
        <v>Ознакомиться</v>
      </c>
      <c r="W368" s="8" t="s">
        <v>119</v>
      </c>
      <c r="X368" s="6"/>
      <c r="Y368" s="6"/>
      <c r="Z368" s="6"/>
      <c r="AA368" s="6" t="s">
        <v>89</v>
      </c>
    </row>
    <row r="369" spans="1:27" s="4" customFormat="1" ht="51.95" customHeight="1">
      <c r="A369" s="5">
        <v>0</v>
      </c>
      <c r="B369" s="6" t="s">
        <v>2293</v>
      </c>
      <c r="C369" s="7">
        <v>2294</v>
      </c>
      <c r="D369" s="8" t="s">
        <v>2294</v>
      </c>
      <c r="E369" s="8" t="s">
        <v>2289</v>
      </c>
      <c r="F369" s="8" t="s">
        <v>2295</v>
      </c>
      <c r="G369" s="6" t="s">
        <v>37</v>
      </c>
      <c r="H369" s="6" t="s">
        <v>38</v>
      </c>
      <c r="I369" s="8" t="s">
        <v>192</v>
      </c>
      <c r="J369" s="9">
        <v>1</v>
      </c>
      <c r="K369" s="9">
        <v>632</v>
      </c>
      <c r="L369" s="9">
        <v>2024</v>
      </c>
      <c r="M369" s="8" t="s">
        <v>2296</v>
      </c>
      <c r="N369" s="8" t="s">
        <v>41</v>
      </c>
      <c r="O369" s="8" t="s">
        <v>42</v>
      </c>
      <c r="P369" s="6" t="s">
        <v>78</v>
      </c>
      <c r="Q369" s="8" t="s">
        <v>97</v>
      </c>
      <c r="R369" s="10" t="s">
        <v>107</v>
      </c>
      <c r="S369" s="11" t="s">
        <v>2297</v>
      </c>
      <c r="T369" s="6"/>
      <c r="U369" s="28" t="str">
        <f>HYPERLINK("https://media.infra-m.ru/2083/2083227/cover/2083227.jpg", "Обложка")</f>
        <v>Обложка</v>
      </c>
      <c r="V369" s="28" t="str">
        <f>HYPERLINK("https://znanium.ru/catalog/product/2083227", "Ознакомиться")</f>
        <v>Ознакомиться</v>
      </c>
      <c r="W369" s="8" t="s">
        <v>46</v>
      </c>
      <c r="X369" s="6"/>
      <c r="Y369" s="6"/>
      <c r="Z369" s="6"/>
      <c r="AA369" s="6" t="s">
        <v>258</v>
      </c>
    </row>
    <row r="370" spans="1:27" s="4" customFormat="1" ht="51.95" customHeight="1">
      <c r="A370" s="5">
        <v>0</v>
      </c>
      <c r="B370" s="6" t="s">
        <v>2298</v>
      </c>
      <c r="C370" s="7">
        <v>1804.9</v>
      </c>
      <c r="D370" s="8" t="s">
        <v>2299</v>
      </c>
      <c r="E370" s="8" t="s">
        <v>2300</v>
      </c>
      <c r="F370" s="8" t="s">
        <v>2301</v>
      </c>
      <c r="G370" s="6" t="s">
        <v>37</v>
      </c>
      <c r="H370" s="6" t="s">
        <v>38</v>
      </c>
      <c r="I370" s="8" t="s">
        <v>94</v>
      </c>
      <c r="J370" s="9">
        <v>1</v>
      </c>
      <c r="K370" s="9">
        <v>400</v>
      </c>
      <c r="L370" s="9">
        <v>2023</v>
      </c>
      <c r="M370" s="8" t="s">
        <v>2302</v>
      </c>
      <c r="N370" s="8" t="s">
        <v>41</v>
      </c>
      <c r="O370" s="8" t="s">
        <v>42</v>
      </c>
      <c r="P370" s="6" t="s">
        <v>78</v>
      </c>
      <c r="Q370" s="8" t="s">
        <v>97</v>
      </c>
      <c r="R370" s="10" t="s">
        <v>2303</v>
      </c>
      <c r="S370" s="11" t="s">
        <v>2304</v>
      </c>
      <c r="T370" s="6" t="s">
        <v>151</v>
      </c>
      <c r="U370" s="28" t="str">
        <f>HYPERLINK("https://media.infra-m.ru/1986/1986695/cover/1986695.jpg", "Обложка")</f>
        <v>Обложка</v>
      </c>
      <c r="V370" s="28" t="str">
        <f>HYPERLINK("https://znanium.ru/catalog/product/1986695", "Ознакомиться")</f>
        <v>Ознакомиться</v>
      </c>
      <c r="W370" s="8" t="s">
        <v>46</v>
      </c>
      <c r="X370" s="6"/>
      <c r="Y370" s="6"/>
      <c r="Z370" s="6"/>
      <c r="AA370" s="6" t="s">
        <v>59</v>
      </c>
    </row>
    <row r="371" spans="1:27" s="4" customFormat="1" ht="42" customHeight="1">
      <c r="A371" s="5">
        <v>0</v>
      </c>
      <c r="B371" s="6" t="s">
        <v>2305</v>
      </c>
      <c r="C371" s="7">
        <v>1420</v>
      </c>
      <c r="D371" s="8" t="s">
        <v>2306</v>
      </c>
      <c r="E371" s="8" t="s">
        <v>2307</v>
      </c>
      <c r="F371" s="8" t="s">
        <v>1735</v>
      </c>
      <c r="G371" s="6" t="s">
        <v>37</v>
      </c>
      <c r="H371" s="6" t="s">
        <v>352</v>
      </c>
      <c r="I371" s="8"/>
      <c r="J371" s="9">
        <v>1</v>
      </c>
      <c r="K371" s="9">
        <v>392</v>
      </c>
      <c r="L371" s="9">
        <v>2021</v>
      </c>
      <c r="M371" s="8" t="s">
        <v>2308</v>
      </c>
      <c r="N371" s="8" t="s">
        <v>41</v>
      </c>
      <c r="O371" s="8" t="s">
        <v>42</v>
      </c>
      <c r="P371" s="6" t="s">
        <v>66</v>
      </c>
      <c r="Q371" s="8" t="s">
        <v>97</v>
      </c>
      <c r="R371" s="10" t="s">
        <v>2309</v>
      </c>
      <c r="S371" s="11"/>
      <c r="T371" s="6"/>
      <c r="U371" s="28" t="str">
        <f>HYPERLINK("https://media.infra-m.ru/1229/1229324/cover/1229324.jpg", "Обложка")</f>
        <v>Обложка</v>
      </c>
      <c r="V371" s="28" t="str">
        <f>HYPERLINK("https://znanium.ru/catalog/product/1229324", "Ознакомиться")</f>
        <v>Ознакомиться</v>
      </c>
      <c r="W371" s="8" t="s">
        <v>1217</v>
      </c>
      <c r="X371" s="6"/>
      <c r="Y371" s="6"/>
      <c r="Z371" s="6"/>
      <c r="AA371" s="6" t="s">
        <v>70</v>
      </c>
    </row>
    <row r="372" spans="1:27" s="4" customFormat="1" ht="51.95" customHeight="1">
      <c r="A372" s="5">
        <v>0</v>
      </c>
      <c r="B372" s="6" t="s">
        <v>2310</v>
      </c>
      <c r="C372" s="13">
        <v>934</v>
      </c>
      <c r="D372" s="8" t="s">
        <v>2311</v>
      </c>
      <c r="E372" s="8" t="s">
        <v>2312</v>
      </c>
      <c r="F372" s="8" t="s">
        <v>419</v>
      </c>
      <c r="G372" s="6" t="s">
        <v>37</v>
      </c>
      <c r="H372" s="6" t="s">
        <v>38</v>
      </c>
      <c r="I372" s="8" t="s">
        <v>199</v>
      </c>
      <c r="J372" s="9">
        <v>1</v>
      </c>
      <c r="K372" s="9">
        <v>198</v>
      </c>
      <c r="L372" s="9">
        <v>2024</v>
      </c>
      <c r="M372" s="8" t="s">
        <v>2313</v>
      </c>
      <c r="N372" s="8" t="s">
        <v>41</v>
      </c>
      <c r="O372" s="8" t="s">
        <v>42</v>
      </c>
      <c r="P372" s="6" t="s">
        <v>78</v>
      </c>
      <c r="Q372" s="8" t="s">
        <v>201</v>
      </c>
      <c r="R372" s="10" t="s">
        <v>336</v>
      </c>
      <c r="S372" s="11" t="s">
        <v>2314</v>
      </c>
      <c r="T372" s="6"/>
      <c r="U372" s="28" t="str">
        <f>HYPERLINK("https://media.infra-m.ru/2149/2149197/cover/2149197.jpg", "Обложка")</f>
        <v>Обложка</v>
      </c>
      <c r="V372" s="28" t="str">
        <f>HYPERLINK("https://znanium.ru/catalog/product/1018363", "Ознакомиться")</f>
        <v>Ознакомиться</v>
      </c>
      <c r="W372" s="8" t="s">
        <v>109</v>
      </c>
      <c r="X372" s="6"/>
      <c r="Y372" s="6"/>
      <c r="Z372" s="6"/>
      <c r="AA372" s="6" t="s">
        <v>70</v>
      </c>
    </row>
    <row r="373" spans="1:27" s="4" customFormat="1" ht="51.95" customHeight="1">
      <c r="A373" s="5">
        <v>0</v>
      </c>
      <c r="B373" s="6" t="s">
        <v>2315</v>
      </c>
      <c r="C373" s="13">
        <v>794.9</v>
      </c>
      <c r="D373" s="8" t="s">
        <v>2316</v>
      </c>
      <c r="E373" s="8" t="s">
        <v>2317</v>
      </c>
      <c r="F373" s="8" t="s">
        <v>2318</v>
      </c>
      <c r="G373" s="6" t="s">
        <v>37</v>
      </c>
      <c r="H373" s="6" t="s">
        <v>333</v>
      </c>
      <c r="I373" s="8" t="s">
        <v>192</v>
      </c>
      <c r="J373" s="9">
        <v>24</v>
      </c>
      <c r="K373" s="9">
        <v>208</v>
      </c>
      <c r="L373" s="9">
        <v>2022</v>
      </c>
      <c r="M373" s="8" t="s">
        <v>2319</v>
      </c>
      <c r="N373" s="8" t="s">
        <v>41</v>
      </c>
      <c r="O373" s="8" t="s">
        <v>42</v>
      </c>
      <c r="P373" s="6" t="s">
        <v>66</v>
      </c>
      <c r="Q373" s="8" t="s">
        <v>97</v>
      </c>
      <c r="R373" s="10" t="s">
        <v>107</v>
      </c>
      <c r="S373" s="11" t="s">
        <v>2320</v>
      </c>
      <c r="T373" s="6"/>
      <c r="U373" s="28" t="str">
        <f>HYPERLINK("https://media.infra-m.ru/1842/1842511/cover/1842511.jpg", "Обложка")</f>
        <v>Обложка</v>
      </c>
      <c r="V373" s="12"/>
      <c r="W373" s="8" t="s">
        <v>2321</v>
      </c>
      <c r="X373" s="6"/>
      <c r="Y373" s="6"/>
      <c r="Z373" s="6"/>
      <c r="AA373" s="6" t="s">
        <v>258</v>
      </c>
    </row>
    <row r="374" spans="1:27" s="4" customFormat="1" ht="51.95" customHeight="1">
      <c r="A374" s="5">
        <v>0</v>
      </c>
      <c r="B374" s="6" t="s">
        <v>2322</v>
      </c>
      <c r="C374" s="13">
        <v>944</v>
      </c>
      <c r="D374" s="8" t="s">
        <v>2323</v>
      </c>
      <c r="E374" s="8" t="s">
        <v>2317</v>
      </c>
      <c r="F374" s="8" t="s">
        <v>2324</v>
      </c>
      <c r="G374" s="6" t="s">
        <v>75</v>
      </c>
      <c r="H374" s="6" t="s">
        <v>333</v>
      </c>
      <c r="I374" s="8" t="s">
        <v>199</v>
      </c>
      <c r="J374" s="9">
        <v>1</v>
      </c>
      <c r="K374" s="9">
        <v>208</v>
      </c>
      <c r="L374" s="9">
        <v>2023</v>
      </c>
      <c r="M374" s="8" t="s">
        <v>2325</v>
      </c>
      <c r="N374" s="8" t="s">
        <v>41</v>
      </c>
      <c r="O374" s="8" t="s">
        <v>42</v>
      </c>
      <c r="P374" s="6" t="s">
        <v>66</v>
      </c>
      <c r="Q374" s="8" t="s">
        <v>201</v>
      </c>
      <c r="R374" s="10" t="s">
        <v>336</v>
      </c>
      <c r="S374" s="11" t="s">
        <v>2326</v>
      </c>
      <c r="T374" s="6"/>
      <c r="U374" s="28" t="str">
        <f>HYPERLINK("https://media.infra-m.ru/2021/2021473/cover/2021473.jpg", "Обложка")</f>
        <v>Обложка</v>
      </c>
      <c r="V374" s="28" t="str">
        <f>HYPERLINK("https://znanium.ru/catalog/product/1031932", "Ознакомиться")</f>
        <v>Ознакомиться</v>
      </c>
      <c r="W374" s="8" t="s">
        <v>2321</v>
      </c>
      <c r="X374" s="6"/>
      <c r="Y374" s="6"/>
      <c r="Z374" s="6" t="s">
        <v>204</v>
      </c>
      <c r="AA374" s="6" t="s">
        <v>173</v>
      </c>
    </row>
    <row r="375" spans="1:27" s="4" customFormat="1" ht="42" customHeight="1">
      <c r="A375" s="5">
        <v>0</v>
      </c>
      <c r="B375" s="6" t="s">
        <v>2327</v>
      </c>
      <c r="C375" s="13">
        <v>794.9</v>
      </c>
      <c r="D375" s="8" t="s">
        <v>2328</v>
      </c>
      <c r="E375" s="8" t="s">
        <v>2329</v>
      </c>
      <c r="F375" s="8" t="s">
        <v>2330</v>
      </c>
      <c r="G375" s="6" t="s">
        <v>37</v>
      </c>
      <c r="H375" s="6" t="s">
        <v>64</v>
      </c>
      <c r="I375" s="8" t="s">
        <v>2331</v>
      </c>
      <c r="J375" s="9">
        <v>1</v>
      </c>
      <c r="K375" s="9">
        <v>176</v>
      </c>
      <c r="L375" s="9">
        <v>2023</v>
      </c>
      <c r="M375" s="8" t="s">
        <v>2332</v>
      </c>
      <c r="N375" s="8" t="s">
        <v>41</v>
      </c>
      <c r="O375" s="8" t="s">
        <v>56</v>
      </c>
      <c r="P375" s="6" t="s">
        <v>43</v>
      </c>
      <c r="Q375" s="8" t="s">
        <v>44</v>
      </c>
      <c r="R375" s="10" t="s">
        <v>2333</v>
      </c>
      <c r="S375" s="11"/>
      <c r="T375" s="6"/>
      <c r="U375" s="28" t="str">
        <f>HYPERLINK("https://media.infra-m.ru/1977/1977951/cover/1977951.jpg", "Обложка")</f>
        <v>Обложка</v>
      </c>
      <c r="V375" s="28" t="str">
        <f>HYPERLINK("https://znanium.ru/catalog/product/923654", "Ознакомиться")</f>
        <v>Ознакомиться</v>
      </c>
      <c r="W375" s="8" t="s">
        <v>328</v>
      </c>
      <c r="X375" s="6"/>
      <c r="Y375" s="6"/>
      <c r="Z375" s="6"/>
      <c r="AA375" s="6" t="s">
        <v>134</v>
      </c>
    </row>
    <row r="376" spans="1:27" s="4" customFormat="1" ht="42" customHeight="1">
      <c r="A376" s="5">
        <v>0</v>
      </c>
      <c r="B376" s="6" t="s">
        <v>2334</v>
      </c>
      <c r="C376" s="7">
        <v>1520</v>
      </c>
      <c r="D376" s="8" t="s">
        <v>2335</v>
      </c>
      <c r="E376" s="8" t="s">
        <v>2336</v>
      </c>
      <c r="F376" s="8" t="s">
        <v>2337</v>
      </c>
      <c r="G376" s="6" t="s">
        <v>75</v>
      </c>
      <c r="H376" s="6" t="s">
        <v>38</v>
      </c>
      <c r="I376" s="8" t="s">
        <v>199</v>
      </c>
      <c r="J376" s="9">
        <v>1</v>
      </c>
      <c r="K376" s="9">
        <v>314</v>
      </c>
      <c r="L376" s="9">
        <v>2024</v>
      </c>
      <c r="M376" s="8" t="s">
        <v>2338</v>
      </c>
      <c r="N376" s="8" t="s">
        <v>41</v>
      </c>
      <c r="O376" s="8" t="s">
        <v>42</v>
      </c>
      <c r="P376" s="6" t="s">
        <v>78</v>
      </c>
      <c r="Q376" s="8" t="s">
        <v>201</v>
      </c>
      <c r="R376" s="10" t="s">
        <v>202</v>
      </c>
      <c r="S376" s="11"/>
      <c r="T376" s="6"/>
      <c r="U376" s="28" t="str">
        <f>HYPERLINK("https://media.infra-m.ru/2135/2135418/cover/2135418.jpg", "Обложка")</f>
        <v>Обложка</v>
      </c>
      <c r="V376" s="28" t="str">
        <f>HYPERLINK("https://znanium.ru/catalog/product/2135418", "Ознакомиться")</f>
        <v>Ознакомиться</v>
      </c>
      <c r="W376" s="8" t="s">
        <v>46</v>
      </c>
      <c r="X376" s="6"/>
      <c r="Y376" s="6"/>
      <c r="Z376" s="6"/>
      <c r="AA376" s="6" t="s">
        <v>48</v>
      </c>
    </row>
    <row r="377" spans="1:27" s="4" customFormat="1" ht="42" customHeight="1">
      <c r="A377" s="5">
        <v>0</v>
      </c>
      <c r="B377" s="6" t="s">
        <v>2339</v>
      </c>
      <c r="C377" s="7">
        <v>1450</v>
      </c>
      <c r="D377" s="8" t="s">
        <v>2340</v>
      </c>
      <c r="E377" s="8" t="s">
        <v>2341</v>
      </c>
      <c r="F377" s="8" t="s">
        <v>2342</v>
      </c>
      <c r="G377" s="6" t="s">
        <v>37</v>
      </c>
      <c r="H377" s="6" t="s">
        <v>38</v>
      </c>
      <c r="I377" s="8" t="s">
        <v>199</v>
      </c>
      <c r="J377" s="9">
        <v>1</v>
      </c>
      <c r="K377" s="9">
        <v>306</v>
      </c>
      <c r="L377" s="9">
        <v>2024</v>
      </c>
      <c r="M377" s="8" t="s">
        <v>2343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202</v>
      </c>
      <c r="S377" s="11"/>
      <c r="T377" s="6"/>
      <c r="U377" s="28" t="str">
        <f>HYPERLINK("https://media.infra-m.ru/1915/1915793/cover/1915793.jpg", "Обложка")</f>
        <v>Обложка</v>
      </c>
      <c r="V377" s="28" t="str">
        <f>HYPERLINK("https://znanium.ru/catalog/product/1915793", "Ознакомиться")</f>
        <v>Ознакомиться</v>
      </c>
      <c r="W377" s="8" t="s">
        <v>2344</v>
      </c>
      <c r="X377" s="6" t="s">
        <v>47</v>
      </c>
      <c r="Y377" s="6"/>
      <c r="Z377" s="6"/>
      <c r="AA377" s="6" t="s">
        <v>48</v>
      </c>
    </row>
    <row r="378" spans="1:27" s="4" customFormat="1" ht="51.95" customHeight="1">
      <c r="A378" s="5">
        <v>0</v>
      </c>
      <c r="B378" s="6" t="s">
        <v>2345</v>
      </c>
      <c r="C378" s="7">
        <v>1250</v>
      </c>
      <c r="D378" s="8" t="s">
        <v>2346</v>
      </c>
      <c r="E378" s="8" t="s">
        <v>2347</v>
      </c>
      <c r="F378" s="8" t="s">
        <v>162</v>
      </c>
      <c r="G378" s="6" t="s">
        <v>37</v>
      </c>
      <c r="H378" s="6" t="s">
        <v>38</v>
      </c>
      <c r="I378" s="8" t="s">
        <v>199</v>
      </c>
      <c r="J378" s="9">
        <v>1</v>
      </c>
      <c r="K378" s="9">
        <v>265</v>
      </c>
      <c r="L378" s="9">
        <v>2023</v>
      </c>
      <c r="M378" s="8" t="s">
        <v>2348</v>
      </c>
      <c r="N378" s="8" t="s">
        <v>41</v>
      </c>
      <c r="O378" s="8" t="s">
        <v>42</v>
      </c>
      <c r="P378" s="6" t="s">
        <v>78</v>
      </c>
      <c r="Q378" s="8" t="s">
        <v>201</v>
      </c>
      <c r="R378" s="10" t="s">
        <v>2349</v>
      </c>
      <c r="S378" s="11" t="s">
        <v>2350</v>
      </c>
      <c r="T378" s="6"/>
      <c r="U378" s="28" t="str">
        <f>HYPERLINK("https://media.infra-m.ru/1860/1860498/cover/1860498.jpg", "Обложка")</f>
        <v>Обложка</v>
      </c>
      <c r="V378" s="28" t="str">
        <f>HYPERLINK("https://znanium.ru/catalog/product/1860498", "Ознакомиться")</f>
        <v>Ознакомиться</v>
      </c>
      <c r="W378" s="8" t="s">
        <v>166</v>
      </c>
      <c r="X378" s="6"/>
      <c r="Y378" s="6"/>
      <c r="Z378" s="6"/>
      <c r="AA378" s="6" t="s">
        <v>120</v>
      </c>
    </row>
    <row r="379" spans="1:27" s="4" customFormat="1" ht="51.95" customHeight="1">
      <c r="A379" s="5">
        <v>0</v>
      </c>
      <c r="B379" s="6" t="s">
        <v>2351</v>
      </c>
      <c r="C379" s="7">
        <v>1050</v>
      </c>
      <c r="D379" s="8" t="s">
        <v>2352</v>
      </c>
      <c r="E379" s="8" t="s">
        <v>2347</v>
      </c>
      <c r="F379" s="8" t="s">
        <v>2353</v>
      </c>
      <c r="G379" s="6" t="s">
        <v>75</v>
      </c>
      <c r="H379" s="6" t="s">
        <v>38</v>
      </c>
      <c r="I379" s="8" t="s">
        <v>199</v>
      </c>
      <c r="J379" s="9">
        <v>1</v>
      </c>
      <c r="K379" s="9">
        <v>220</v>
      </c>
      <c r="L379" s="9">
        <v>2024</v>
      </c>
      <c r="M379" s="8" t="s">
        <v>2354</v>
      </c>
      <c r="N379" s="8" t="s">
        <v>41</v>
      </c>
      <c r="O379" s="8" t="s">
        <v>42</v>
      </c>
      <c r="P379" s="6" t="s">
        <v>66</v>
      </c>
      <c r="Q379" s="8" t="s">
        <v>201</v>
      </c>
      <c r="R379" s="10" t="s">
        <v>202</v>
      </c>
      <c r="S379" s="11" t="s">
        <v>2355</v>
      </c>
      <c r="T379" s="6"/>
      <c r="U379" s="28" t="str">
        <f>HYPERLINK("https://media.infra-m.ru/2131/2131875/cover/2131875.jpg", "Обложка")</f>
        <v>Обложка</v>
      </c>
      <c r="V379" s="28" t="str">
        <f>HYPERLINK("https://znanium.ru/catalog/product/2131875", "Ознакомиться")</f>
        <v>Ознакомиться</v>
      </c>
      <c r="W379" s="8" t="s">
        <v>1578</v>
      </c>
      <c r="X379" s="6"/>
      <c r="Y379" s="6"/>
      <c r="Z379" s="6"/>
      <c r="AA379" s="6" t="s">
        <v>120</v>
      </c>
    </row>
    <row r="380" spans="1:27" s="4" customFormat="1" ht="51.95" customHeight="1">
      <c r="A380" s="5">
        <v>0</v>
      </c>
      <c r="B380" s="6" t="s">
        <v>2356</v>
      </c>
      <c r="C380" s="7">
        <v>1034</v>
      </c>
      <c r="D380" s="8" t="s">
        <v>2357</v>
      </c>
      <c r="E380" s="8" t="s">
        <v>2358</v>
      </c>
      <c r="F380" s="8" t="s">
        <v>867</v>
      </c>
      <c r="G380" s="6" t="s">
        <v>37</v>
      </c>
      <c r="H380" s="6" t="s">
        <v>333</v>
      </c>
      <c r="I380" s="8" t="s">
        <v>192</v>
      </c>
      <c r="J380" s="9">
        <v>1</v>
      </c>
      <c r="K380" s="9">
        <v>224</v>
      </c>
      <c r="L380" s="9">
        <v>2023</v>
      </c>
      <c r="M380" s="8" t="s">
        <v>2359</v>
      </c>
      <c r="N380" s="8" t="s">
        <v>41</v>
      </c>
      <c r="O380" s="8" t="s">
        <v>42</v>
      </c>
      <c r="P380" s="6" t="s">
        <v>66</v>
      </c>
      <c r="Q380" s="8" t="s">
        <v>97</v>
      </c>
      <c r="R380" s="10" t="s">
        <v>2360</v>
      </c>
      <c r="S380" s="11" t="s">
        <v>2361</v>
      </c>
      <c r="T380" s="6"/>
      <c r="U380" s="28" t="str">
        <f>HYPERLINK("https://media.infra-m.ru/2094/2094511/cover/2094511.jpg", "Обложка")</f>
        <v>Обложка</v>
      </c>
      <c r="V380" s="28" t="str">
        <f>HYPERLINK("https://znanium.ru/catalog/product/1844328", "Ознакомиться")</f>
        <v>Ознакомиться</v>
      </c>
      <c r="W380" s="8"/>
      <c r="X380" s="6"/>
      <c r="Y380" s="6"/>
      <c r="Z380" s="6"/>
      <c r="AA380" s="6" t="s">
        <v>59</v>
      </c>
    </row>
    <row r="381" spans="1:27" s="4" customFormat="1" ht="51.95" customHeight="1">
      <c r="A381" s="5">
        <v>0</v>
      </c>
      <c r="B381" s="6" t="s">
        <v>2362</v>
      </c>
      <c r="C381" s="13">
        <v>820</v>
      </c>
      <c r="D381" s="8" t="s">
        <v>2363</v>
      </c>
      <c r="E381" s="8" t="s">
        <v>2364</v>
      </c>
      <c r="F381" s="8" t="s">
        <v>419</v>
      </c>
      <c r="G381" s="6" t="s">
        <v>75</v>
      </c>
      <c r="H381" s="6" t="s">
        <v>38</v>
      </c>
      <c r="I381" s="8" t="s">
        <v>199</v>
      </c>
      <c r="J381" s="9">
        <v>1</v>
      </c>
      <c r="K381" s="9">
        <v>183</v>
      </c>
      <c r="L381" s="9">
        <v>2023</v>
      </c>
      <c r="M381" s="8" t="s">
        <v>2365</v>
      </c>
      <c r="N381" s="8" t="s">
        <v>41</v>
      </c>
      <c r="O381" s="8" t="s">
        <v>42</v>
      </c>
      <c r="P381" s="6" t="s">
        <v>78</v>
      </c>
      <c r="Q381" s="8" t="s">
        <v>201</v>
      </c>
      <c r="R381" s="10" t="s">
        <v>336</v>
      </c>
      <c r="S381" s="11" t="s">
        <v>2366</v>
      </c>
      <c r="T381" s="6" t="s">
        <v>151</v>
      </c>
      <c r="U381" s="28" t="str">
        <f>HYPERLINK("https://media.infra-m.ru/1965/1965770/cover/1965770.jpg", "Обложка")</f>
        <v>Обложка</v>
      </c>
      <c r="V381" s="28" t="str">
        <f>HYPERLINK("https://znanium.ru/catalog/product/1965770", "Ознакомиться")</f>
        <v>Ознакомиться</v>
      </c>
      <c r="W381" s="8" t="s">
        <v>109</v>
      </c>
      <c r="X381" s="6"/>
      <c r="Y381" s="6"/>
      <c r="Z381" s="6"/>
      <c r="AA381" s="6" t="s">
        <v>405</v>
      </c>
    </row>
    <row r="382" spans="1:27" s="4" customFormat="1" ht="51.95" customHeight="1">
      <c r="A382" s="5">
        <v>0</v>
      </c>
      <c r="B382" s="6" t="s">
        <v>2367</v>
      </c>
      <c r="C382" s="13">
        <v>720</v>
      </c>
      <c r="D382" s="8" t="s">
        <v>2368</v>
      </c>
      <c r="E382" s="8" t="s">
        <v>2369</v>
      </c>
      <c r="F382" s="8" t="s">
        <v>2370</v>
      </c>
      <c r="G382" s="6" t="s">
        <v>53</v>
      </c>
      <c r="H382" s="6" t="s">
        <v>362</v>
      </c>
      <c r="I382" s="8" t="s">
        <v>334</v>
      </c>
      <c r="J382" s="9">
        <v>1</v>
      </c>
      <c r="K382" s="9">
        <v>216</v>
      </c>
      <c r="L382" s="9">
        <v>2019</v>
      </c>
      <c r="M382" s="8" t="s">
        <v>2371</v>
      </c>
      <c r="N382" s="8" t="s">
        <v>41</v>
      </c>
      <c r="O382" s="8" t="s">
        <v>42</v>
      </c>
      <c r="P382" s="6" t="s">
        <v>66</v>
      </c>
      <c r="Q382" s="8" t="s">
        <v>201</v>
      </c>
      <c r="R382" s="10" t="s">
        <v>336</v>
      </c>
      <c r="S382" s="11" t="s">
        <v>2372</v>
      </c>
      <c r="T382" s="6"/>
      <c r="U382" s="28" t="str">
        <f>HYPERLINK("https://media.infra-m.ru/1007/1007646/cover/1007646.jpg", "Обложка")</f>
        <v>Обложка</v>
      </c>
      <c r="V382" s="28" t="str">
        <f>HYPERLINK("https://znanium.ru/catalog/product/1007646", "Ознакомиться")</f>
        <v>Ознакомиться</v>
      </c>
      <c r="W382" s="8" t="s">
        <v>119</v>
      </c>
      <c r="X382" s="6"/>
      <c r="Y382" s="6"/>
      <c r="Z382" s="6"/>
      <c r="AA382" s="6" t="s">
        <v>187</v>
      </c>
    </row>
    <row r="383" spans="1:27" s="4" customFormat="1" ht="51.95" customHeight="1">
      <c r="A383" s="5">
        <v>0</v>
      </c>
      <c r="B383" s="6" t="s">
        <v>2373</v>
      </c>
      <c r="C383" s="7">
        <v>1314</v>
      </c>
      <c r="D383" s="8" t="s">
        <v>2374</v>
      </c>
      <c r="E383" s="8" t="s">
        <v>2375</v>
      </c>
      <c r="F383" s="8" t="s">
        <v>2376</v>
      </c>
      <c r="G383" s="6" t="s">
        <v>37</v>
      </c>
      <c r="H383" s="6" t="s">
        <v>362</v>
      </c>
      <c r="I383" s="8" t="s">
        <v>334</v>
      </c>
      <c r="J383" s="9">
        <v>1</v>
      </c>
      <c r="K383" s="9">
        <v>286</v>
      </c>
      <c r="L383" s="9">
        <v>2024</v>
      </c>
      <c r="M383" s="8" t="s">
        <v>2377</v>
      </c>
      <c r="N383" s="8" t="s">
        <v>41</v>
      </c>
      <c r="O383" s="8" t="s">
        <v>42</v>
      </c>
      <c r="P383" s="6" t="s">
        <v>78</v>
      </c>
      <c r="Q383" s="8" t="s">
        <v>201</v>
      </c>
      <c r="R383" s="10" t="s">
        <v>336</v>
      </c>
      <c r="S383" s="11" t="s">
        <v>2378</v>
      </c>
      <c r="T383" s="6"/>
      <c r="U383" s="28" t="str">
        <f>HYPERLINK("https://media.infra-m.ru/2129/2129168/cover/2129168.jpg", "Обложка")</f>
        <v>Обложка</v>
      </c>
      <c r="V383" s="12"/>
      <c r="W383" s="8" t="s">
        <v>46</v>
      </c>
      <c r="X383" s="6"/>
      <c r="Y383" s="6"/>
      <c r="Z383" s="6"/>
      <c r="AA383" s="6" t="s">
        <v>435</v>
      </c>
    </row>
    <row r="384" spans="1:27" s="4" customFormat="1" ht="42" customHeight="1">
      <c r="A384" s="5">
        <v>0</v>
      </c>
      <c r="B384" s="6" t="s">
        <v>2379</v>
      </c>
      <c r="C384" s="13">
        <v>580</v>
      </c>
      <c r="D384" s="8" t="s">
        <v>2380</v>
      </c>
      <c r="E384" s="8" t="s">
        <v>2375</v>
      </c>
      <c r="F384" s="8" t="s">
        <v>2381</v>
      </c>
      <c r="G384" s="6" t="s">
        <v>53</v>
      </c>
      <c r="H384" s="6" t="s">
        <v>352</v>
      </c>
      <c r="I384" s="8"/>
      <c r="J384" s="9">
        <v>1</v>
      </c>
      <c r="K384" s="9">
        <v>124</v>
      </c>
      <c r="L384" s="9">
        <v>2022</v>
      </c>
      <c r="M384" s="8" t="s">
        <v>2382</v>
      </c>
      <c r="N384" s="8" t="s">
        <v>41</v>
      </c>
      <c r="O384" s="8" t="s">
        <v>42</v>
      </c>
      <c r="P384" s="6" t="s">
        <v>66</v>
      </c>
      <c r="Q384" s="8" t="s">
        <v>97</v>
      </c>
      <c r="R384" s="10" t="s">
        <v>558</v>
      </c>
      <c r="S384" s="11"/>
      <c r="T384" s="6"/>
      <c r="U384" s="28" t="str">
        <f>HYPERLINK("https://media.infra-m.ru/1844/1844831/cover/1844831.jpg", "Обложка")</f>
        <v>Обложка</v>
      </c>
      <c r="V384" s="28" t="str">
        <f>HYPERLINK("https://znanium.ru/catalog/product/1844831", "Ознакомиться")</f>
        <v>Ознакомиться</v>
      </c>
      <c r="W384" s="8" t="s">
        <v>46</v>
      </c>
      <c r="X384" s="6"/>
      <c r="Y384" s="6"/>
      <c r="Z384" s="6"/>
      <c r="AA384" s="6" t="s">
        <v>445</v>
      </c>
    </row>
    <row r="385" spans="1:27" s="4" customFormat="1" ht="44.1" customHeight="1">
      <c r="A385" s="5">
        <v>0</v>
      </c>
      <c r="B385" s="6" t="s">
        <v>2383</v>
      </c>
      <c r="C385" s="7">
        <v>1044.9000000000001</v>
      </c>
      <c r="D385" s="8" t="s">
        <v>2384</v>
      </c>
      <c r="E385" s="8" t="s">
        <v>2375</v>
      </c>
      <c r="F385" s="8" t="s">
        <v>2385</v>
      </c>
      <c r="G385" s="6" t="s">
        <v>53</v>
      </c>
      <c r="H385" s="6" t="s">
        <v>54</v>
      </c>
      <c r="I385" s="8" t="s">
        <v>94</v>
      </c>
      <c r="J385" s="9">
        <v>1</v>
      </c>
      <c r="K385" s="9">
        <v>274</v>
      </c>
      <c r="L385" s="9">
        <v>2022</v>
      </c>
      <c r="M385" s="8" t="s">
        <v>2386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327</v>
      </c>
      <c r="S385" s="11"/>
      <c r="T385" s="6"/>
      <c r="U385" s="28" t="str">
        <f>HYPERLINK("https://media.infra-m.ru/1851/1851441/cover/1851441.jpg", "Обложка")</f>
        <v>Обложка</v>
      </c>
      <c r="V385" s="28" t="str">
        <f>HYPERLINK("https://znanium.ru/catalog/product/1036625", "Ознакомиться")</f>
        <v>Ознакомиться</v>
      </c>
      <c r="W385" s="8" t="s">
        <v>1098</v>
      </c>
      <c r="X385" s="6"/>
      <c r="Y385" s="6"/>
      <c r="Z385" s="6"/>
      <c r="AA385" s="6" t="s">
        <v>497</v>
      </c>
    </row>
    <row r="386" spans="1:27" s="4" customFormat="1" ht="42" customHeight="1">
      <c r="A386" s="5">
        <v>0</v>
      </c>
      <c r="B386" s="6" t="s">
        <v>2387</v>
      </c>
      <c r="C386" s="7">
        <v>1224.9000000000001</v>
      </c>
      <c r="D386" s="8" t="s">
        <v>2388</v>
      </c>
      <c r="E386" s="8" t="s">
        <v>2389</v>
      </c>
      <c r="F386" s="8" t="s">
        <v>2390</v>
      </c>
      <c r="G386" s="6" t="s">
        <v>37</v>
      </c>
      <c r="H386" s="6" t="s">
        <v>333</v>
      </c>
      <c r="I386" s="8" t="s">
        <v>192</v>
      </c>
      <c r="J386" s="9">
        <v>2</v>
      </c>
      <c r="K386" s="9">
        <v>272</v>
      </c>
      <c r="L386" s="9">
        <v>2023</v>
      </c>
      <c r="M386" s="8" t="s">
        <v>2391</v>
      </c>
      <c r="N386" s="8" t="s">
        <v>41</v>
      </c>
      <c r="O386" s="8" t="s">
        <v>42</v>
      </c>
      <c r="P386" s="6" t="s">
        <v>66</v>
      </c>
      <c r="Q386" s="8" t="s">
        <v>97</v>
      </c>
      <c r="R386" s="10" t="s">
        <v>558</v>
      </c>
      <c r="S386" s="11"/>
      <c r="T386" s="6"/>
      <c r="U386" s="28" t="str">
        <f>HYPERLINK("https://media.infra-m.ru/1981/1981727/cover/1981727.jpg", "Обложка")</f>
        <v>Обложка</v>
      </c>
      <c r="V386" s="28" t="str">
        <f>HYPERLINK("https://znanium.ru/catalog/product/1981727", "Ознакомиться")</f>
        <v>Ознакомиться</v>
      </c>
      <c r="W386" s="8" t="s">
        <v>2321</v>
      </c>
      <c r="X386" s="6"/>
      <c r="Y386" s="6"/>
      <c r="Z386" s="6"/>
      <c r="AA386" s="6" t="s">
        <v>59</v>
      </c>
    </row>
    <row r="387" spans="1:27" s="4" customFormat="1" ht="51.95" customHeight="1">
      <c r="A387" s="5">
        <v>0</v>
      </c>
      <c r="B387" s="6" t="s">
        <v>2392</v>
      </c>
      <c r="C387" s="7">
        <v>1994</v>
      </c>
      <c r="D387" s="8" t="s">
        <v>2393</v>
      </c>
      <c r="E387" s="8" t="s">
        <v>2389</v>
      </c>
      <c r="F387" s="8" t="s">
        <v>2394</v>
      </c>
      <c r="G387" s="6" t="s">
        <v>37</v>
      </c>
      <c r="H387" s="6" t="s">
        <v>352</v>
      </c>
      <c r="I387" s="8" t="s">
        <v>353</v>
      </c>
      <c r="J387" s="9">
        <v>1</v>
      </c>
      <c r="K387" s="9">
        <v>446</v>
      </c>
      <c r="L387" s="9">
        <v>2024</v>
      </c>
      <c r="M387" s="8" t="s">
        <v>2395</v>
      </c>
      <c r="N387" s="8" t="s">
        <v>41</v>
      </c>
      <c r="O387" s="8" t="s">
        <v>42</v>
      </c>
      <c r="P387" s="6" t="s">
        <v>66</v>
      </c>
      <c r="Q387" s="8" t="s">
        <v>201</v>
      </c>
      <c r="R387" s="10" t="s">
        <v>336</v>
      </c>
      <c r="S387" s="11" t="s">
        <v>356</v>
      </c>
      <c r="T387" s="6"/>
      <c r="U387" s="28" t="str">
        <f>HYPERLINK("https://media.infra-m.ru/2056/2056803/cover/2056803.jpg", "Обложка")</f>
        <v>Обложка</v>
      </c>
      <c r="V387" s="28" t="str">
        <f>HYPERLINK("https://znanium.ru/catalog/product/1834708", "Ознакомиться")</f>
        <v>Ознакомиться</v>
      </c>
      <c r="W387" s="8" t="s">
        <v>357</v>
      </c>
      <c r="X387" s="6"/>
      <c r="Y387" s="6"/>
      <c r="Z387" s="6"/>
      <c r="AA387" s="6" t="s">
        <v>2396</v>
      </c>
    </row>
    <row r="388" spans="1:27" s="4" customFormat="1" ht="51.95" customHeight="1">
      <c r="A388" s="5">
        <v>0</v>
      </c>
      <c r="B388" s="6" t="s">
        <v>2397</v>
      </c>
      <c r="C388" s="7">
        <v>1340</v>
      </c>
      <c r="D388" s="8" t="s">
        <v>2398</v>
      </c>
      <c r="E388" s="8" t="s">
        <v>2375</v>
      </c>
      <c r="F388" s="8" t="s">
        <v>368</v>
      </c>
      <c r="G388" s="6" t="s">
        <v>75</v>
      </c>
      <c r="H388" s="6" t="s">
        <v>333</v>
      </c>
      <c r="I388" s="8" t="s">
        <v>334</v>
      </c>
      <c r="J388" s="9">
        <v>1</v>
      </c>
      <c r="K388" s="9">
        <v>288</v>
      </c>
      <c r="L388" s="9">
        <v>2024</v>
      </c>
      <c r="M388" s="8" t="s">
        <v>2399</v>
      </c>
      <c r="N388" s="8" t="s">
        <v>41</v>
      </c>
      <c r="O388" s="8" t="s">
        <v>42</v>
      </c>
      <c r="P388" s="6" t="s">
        <v>78</v>
      </c>
      <c r="Q388" s="8" t="s">
        <v>201</v>
      </c>
      <c r="R388" s="10" t="s">
        <v>336</v>
      </c>
      <c r="S388" s="11" t="s">
        <v>337</v>
      </c>
      <c r="T388" s="6"/>
      <c r="U388" s="28" t="str">
        <f>HYPERLINK("https://media.infra-m.ru/2123/2123894/cover/2123894.jpg", "Обложка")</f>
        <v>Обложка</v>
      </c>
      <c r="V388" s="28" t="str">
        <f>HYPERLINK("https://znanium.ru/catalog/product/2123894", "Ознакомиться")</f>
        <v>Ознакомиться</v>
      </c>
      <c r="W388" s="8" t="s">
        <v>119</v>
      </c>
      <c r="X388" s="6"/>
      <c r="Y388" s="6"/>
      <c r="Z388" s="6"/>
      <c r="AA388" s="6" t="s">
        <v>1932</v>
      </c>
    </row>
    <row r="389" spans="1:27" s="4" customFormat="1" ht="44.1" customHeight="1">
      <c r="A389" s="5">
        <v>0</v>
      </c>
      <c r="B389" s="6" t="s">
        <v>2400</v>
      </c>
      <c r="C389" s="13">
        <v>734.9</v>
      </c>
      <c r="D389" s="8" t="s">
        <v>2401</v>
      </c>
      <c r="E389" s="8" t="s">
        <v>2389</v>
      </c>
      <c r="F389" s="8" t="s">
        <v>2385</v>
      </c>
      <c r="G389" s="6" t="s">
        <v>53</v>
      </c>
      <c r="H389" s="6" t="s">
        <v>54</v>
      </c>
      <c r="I389" s="8" t="s">
        <v>94</v>
      </c>
      <c r="J389" s="9">
        <v>30</v>
      </c>
      <c r="K389" s="9">
        <v>274</v>
      </c>
      <c r="L389" s="9">
        <v>2017</v>
      </c>
      <c r="M389" s="8" t="s">
        <v>2402</v>
      </c>
      <c r="N389" s="8" t="s">
        <v>41</v>
      </c>
      <c r="O389" s="8" t="s">
        <v>42</v>
      </c>
      <c r="P389" s="6" t="s">
        <v>66</v>
      </c>
      <c r="Q389" s="8" t="s">
        <v>97</v>
      </c>
      <c r="R389" s="10" t="s">
        <v>327</v>
      </c>
      <c r="S389" s="11"/>
      <c r="T389" s="6" t="s">
        <v>151</v>
      </c>
      <c r="U389" s="28" t="str">
        <f>HYPERLINK("https://media.infra-m.ru/0620/0620882/cover/620882.jpg", "Обложка")</f>
        <v>Обложка</v>
      </c>
      <c r="V389" s="28" t="str">
        <f>HYPERLINK("https://znanium.ru/catalog/product/1036625", "Ознакомиться")</f>
        <v>Ознакомиться</v>
      </c>
      <c r="W389" s="8" t="s">
        <v>1098</v>
      </c>
      <c r="X389" s="6"/>
      <c r="Y389" s="6"/>
      <c r="Z389" s="6"/>
      <c r="AA389" s="6" t="s">
        <v>101</v>
      </c>
    </row>
    <row r="390" spans="1:27" s="4" customFormat="1" ht="51.95" customHeight="1">
      <c r="A390" s="5">
        <v>0</v>
      </c>
      <c r="B390" s="6" t="s">
        <v>2403</v>
      </c>
      <c r="C390" s="13">
        <v>684.9</v>
      </c>
      <c r="D390" s="8" t="s">
        <v>2404</v>
      </c>
      <c r="E390" s="8" t="s">
        <v>2405</v>
      </c>
      <c r="F390" s="8" t="s">
        <v>2406</v>
      </c>
      <c r="G390" s="6" t="s">
        <v>26</v>
      </c>
      <c r="H390" s="6" t="s">
        <v>352</v>
      </c>
      <c r="I390" s="8"/>
      <c r="J390" s="9">
        <v>1</v>
      </c>
      <c r="K390" s="9">
        <v>152</v>
      </c>
      <c r="L390" s="9">
        <v>2023</v>
      </c>
      <c r="M390" s="8" t="s">
        <v>2407</v>
      </c>
      <c r="N390" s="8" t="s">
        <v>41</v>
      </c>
      <c r="O390" s="8" t="s">
        <v>42</v>
      </c>
      <c r="P390" s="6" t="s">
        <v>43</v>
      </c>
      <c r="Q390" s="8" t="s">
        <v>97</v>
      </c>
      <c r="R390" s="10" t="s">
        <v>1229</v>
      </c>
      <c r="S390" s="11"/>
      <c r="T390" s="6"/>
      <c r="U390" s="28" t="str">
        <f>HYPERLINK("https://media.infra-m.ru/1998/1998767/cover/1998767.jpg", "Обложка")</f>
        <v>Обложка</v>
      </c>
      <c r="V390" s="28" t="str">
        <f>HYPERLINK("https://znanium.ru/catalog/product/504916", "Ознакомиться")</f>
        <v>Ознакомиться</v>
      </c>
      <c r="W390" s="8" t="s">
        <v>1698</v>
      </c>
      <c r="X390" s="6"/>
      <c r="Y390" s="6"/>
      <c r="Z390" s="6"/>
      <c r="AA390" s="6" t="s">
        <v>321</v>
      </c>
    </row>
    <row r="391" spans="1:27" s="4" customFormat="1" ht="51.95" customHeight="1">
      <c r="A391" s="5">
        <v>0</v>
      </c>
      <c r="B391" s="6" t="s">
        <v>2408</v>
      </c>
      <c r="C391" s="7">
        <v>1314.9</v>
      </c>
      <c r="D391" s="8" t="s">
        <v>2409</v>
      </c>
      <c r="E391" s="8" t="s">
        <v>2410</v>
      </c>
      <c r="F391" s="8" t="s">
        <v>617</v>
      </c>
      <c r="G391" s="6" t="s">
        <v>37</v>
      </c>
      <c r="H391" s="6" t="s">
        <v>38</v>
      </c>
      <c r="I391" s="8" t="s">
        <v>94</v>
      </c>
      <c r="J391" s="9">
        <v>1</v>
      </c>
      <c r="K391" s="9">
        <v>292</v>
      </c>
      <c r="L391" s="9">
        <v>2023</v>
      </c>
      <c r="M391" s="8" t="s">
        <v>2411</v>
      </c>
      <c r="N391" s="8" t="s">
        <v>41</v>
      </c>
      <c r="O391" s="8" t="s">
        <v>42</v>
      </c>
      <c r="P391" s="6" t="s">
        <v>78</v>
      </c>
      <c r="Q391" s="8" t="s">
        <v>97</v>
      </c>
      <c r="R391" s="10" t="s">
        <v>558</v>
      </c>
      <c r="S391" s="11" t="s">
        <v>2412</v>
      </c>
      <c r="T391" s="6" t="s">
        <v>151</v>
      </c>
      <c r="U391" s="28" t="str">
        <f>HYPERLINK("https://media.infra-m.ru/1976/1976188/cover/1976188.jpg", "Обложка")</f>
        <v>Обложка</v>
      </c>
      <c r="V391" s="28" t="str">
        <f>HYPERLINK("https://znanium.ru/catalog/product/1038907", "Ознакомиться")</f>
        <v>Ознакомиться</v>
      </c>
      <c r="W391" s="8" t="s">
        <v>290</v>
      </c>
      <c r="X391" s="6"/>
      <c r="Y391" s="6"/>
      <c r="Z391" s="6"/>
      <c r="AA391" s="6" t="s">
        <v>70</v>
      </c>
    </row>
    <row r="392" spans="1:27" s="4" customFormat="1" ht="51.95" customHeight="1">
      <c r="A392" s="5">
        <v>0</v>
      </c>
      <c r="B392" s="6" t="s">
        <v>2413</v>
      </c>
      <c r="C392" s="7">
        <v>1560</v>
      </c>
      <c r="D392" s="8" t="s">
        <v>2414</v>
      </c>
      <c r="E392" s="8" t="s">
        <v>2415</v>
      </c>
      <c r="F392" s="8" t="s">
        <v>971</v>
      </c>
      <c r="G392" s="6" t="s">
        <v>75</v>
      </c>
      <c r="H392" s="6" t="s">
        <v>38</v>
      </c>
      <c r="I392" s="8" t="s">
        <v>2416</v>
      </c>
      <c r="J392" s="9">
        <v>1</v>
      </c>
      <c r="K392" s="9">
        <v>346</v>
      </c>
      <c r="L392" s="9">
        <v>2023</v>
      </c>
      <c r="M392" s="8" t="s">
        <v>2417</v>
      </c>
      <c r="N392" s="8" t="s">
        <v>41</v>
      </c>
      <c r="O392" s="8" t="s">
        <v>42</v>
      </c>
      <c r="P392" s="6" t="s">
        <v>78</v>
      </c>
      <c r="Q392" s="8" t="s">
        <v>201</v>
      </c>
      <c r="R392" s="10" t="s">
        <v>2418</v>
      </c>
      <c r="S392" s="11" t="s">
        <v>2419</v>
      </c>
      <c r="T392" s="6"/>
      <c r="U392" s="28" t="str">
        <f>HYPERLINK("https://media.infra-m.ru/1911/1911734/cover/1911734.jpg", "Обложка")</f>
        <v>Обложка</v>
      </c>
      <c r="V392" s="28" t="str">
        <f>HYPERLINK("https://znanium.ru/catalog/product/1911734", "Ознакомиться")</f>
        <v>Ознакомиться</v>
      </c>
      <c r="W392" s="8" t="s">
        <v>975</v>
      </c>
      <c r="X392" s="6"/>
      <c r="Y392" s="6"/>
      <c r="Z392" s="6"/>
      <c r="AA392" s="6" t="s">
        <v>173</v>
      </c>
    </row>
    <row r="393" spans="1:27" s="4" customFormat="1" ht="42" customHeight="1">
      <c r="A393" s="5">
        <v>0</v>
      </c>
      <c r="B393" s="6" t="s">
        <v>2420</v>
      </c>
      <c r="C393" s="7">
        <v>1240</v>
      </c>
      <c r="D393" s="8" t="s">
        <v>2421</v>
      </c>
      <c r="E393" s="8" t="s">
        <v>2415</v>
      </c>
      <c r="F393" s="8" t="s">
        <v>1765</v>
      </c>
      <c r="G393" s="6" t="s">
        <v>37</v>
      </c>
      <c r="H393" s="6" t="s">
        <v>38</v>
      </c>
      <c r="I393" s="8" t="s">
        <v>199</v>
      </c>
      <c r="J393" s="9">
        <v>1</v>
      </c>
      <c r="K393" s="9">
        <v>251</v>
      </c>
      <c r="L393" s="9">
        <v>2024</v>
      </c>
      <c r="M393" s="8" t="s">
        <v>2422</v>
      </c>
      <c r="N393" s="8" t="s">
        <v>41</v>
      </c>
      <c r="O393" s="8" t="s">
        <v>42</v>
      </c>
      <c r="P393" s="6" t="s">
        <v>78</v>
      </c>
      <c r="Q393" s="8" t="s">
        <v>201</v>
      </c>
      <c r="R393" s="10" t="s">
        <v>2423</v>
      </c>
      <c r="S393" s="11"/>
      <c r="T393" s="6"/>
      <c r="U393" s="28" t="str">
        <f>HYPERLINK("https://media.infra-m.ru/1913/1913538/cover/1913538.jpg", "Обложка")</f>
        <v>Обложка</v>
      </c>
      <c r="V393" s="28" t="str">
        <f>HYPERLINK("https://znanium.ru/catalog/product/1913538", "Ознакомиться")</f>
        <v>Ознакомиться</v>
      </c>
      <c r="W393" s="8" t="s">
        <v>109</v>
      </c>
      <c r="X393" s="6" t="s">
        <v>320</v>
      </c>
      <c r="Y393" s="6"/>
      <c r="Z393" s="6"/>
      <c r="AA393" s="6" t="s">
        <v>48</v>
      </c>
    </row>
    <row r="394" spans="1:27" s="4" customFormat="1" ht="51.95" customHeight="1">
      <c r="A394" s="5">
        <v>0</v>
      </c>
      <c r="B394" s="6" t="s">
        <v>2424</v>
      </c>
      <c r="C394" s="7">
        <v>2270</v>
      </c>
      <c r="D394" s="8" t="s">
        <v>2425</v>
      </c>
      <c r="E394" s="8" t="s">
        <v>2426</v>
      </c>
      <c r="F394" s="8" t="s">
        <v>2427</v>
      </c>
      <c r="G394" s="6" t="s">
        <v>37</v>
      </c>
      <c r="H394" s="6" t="s">
        <v>38</v>
      </c>
      <c r="I394" s="8" t="s">
        <v>192</v>
      </c>
      <c r="J394" s="9">
        <v>1</v>
      </c>
      <c r="K394" s="9">
        <v>491</v>
      </c>
      <c r="L394" s="9">
        <v>2023</v>
      </c>
      <c r="M394" s="8" t="s">
        <v>2428</v>
      </c>
      <c r="N394" s="8" t="s">
        <v>41</v>
      </c>
      <c r="O394" s="8" t="s">
        <v>42</v>
      </c>
      <c r="P394" s="6" t="s">
        <v>78</v>
      </c>
      <c r="Q394" s="8" t="s">
        <v>97</v>
      </c>
      <c r="R394" s="10" t="s">
        <v>2429</v>
      </c>
      <c r="S394" s="11" t="s">
        <v>165</v>
      </c>
      <c r="T394" s="6"/>
      <c r="U394" s="28" t="str">
        <f>HYPERLINK("https://media.infra-m.ru/1851/1851513/cover/1851513.jpg", "Обложка")</f>
        <v>Обложка</v>
      </c>
      <c r="V394" s="28" t="str">
        <f>HYPERLINK("https://znanium.ru/catalog/product/1851513", "Ознакомиться")</f>
        <v>Ознакомиться</v>
      </c>
      <c r="W394" s="8" t="s">
        <v>166</v>
      </c>
      <c r="X394" s="6"/>
      <c r="Y394" s="6"/>
      <c r="Z394" s="6"/>
      <c r="AA394" s="6" t="s">
        <v>110</v>
      </c>
    </row>
    <row r="395" spans="1:27" s="4" customFormat="1" ht="42" customHeight="1">
      <c r="A395" s="5">
        <v>0</v>
      </c>
      <c r="B395" s="6" t="s">
        <v>2430</v>
      </c>
      <c r="C395" s="7">
        <v>1650</v>
      </c>
      <c r="D395" s="8" t="s">
        <v>2431</v>
      </c>
      <c r="E395" s="8" t="s">
        <v>2432</v>
      </c>
      <c r="F395" s="8" t="s">
        <v>1735</v>
      </c>
      <c r="G395" s="6" t="s">
        <v>75</v>
      </c>
      <c r="H395" s="6" t="s">
        <v>352</v>
      </c>
      <c r="I395" s="8"/>
      <c r="J395" s="9">
        <v>1</v>
      </c>
      <c r="K395" s="9">
        <v>368</v>
      </c>
      <c r="L395" s="9">
        <v>2023</v>
      </c>
      <c r="M395" s="8" t="s">
        <v>2433</v>
      </c>
      <c r="N395" s="8" t="s">
        <v>41</v>
      </c>
      <c r="O395" s="8" t="s">
        <v>42</v>
      </c>
      <c r="P395" s="6" t="s">
        <v>66</v>
      </c>
      <c r="Q395" s="8" t="s">
        <v>67</v>
      </c>
      <c r="R395" s="10" t="s">
        <v>687</v>
      </c>
      <c r="S395" s="11"/>
      <c r="T395" s="6"/>
      <c r="U395" s="28" t="str">
        <f>HYPERLINK("https://media.infra-m.ru/1082/1082926/cover/1082926.jpg", "Обложка")</f>
        <v>Обложка</v>
      </c>
      <c r="V395" s="28" t="str">
        <f>HYPERLINK("https://znanium.ru/catalog/product/1082926", "Ознакомиться")</f>
        <v>Ознакомиться</v>
      </c>
      <c r="W395" s="8" t="s">
        <v>1217</v>
      </c>
      <c r="X395" s="6"/>
      <c r="Y395" s="6"/>
      <c r="Z395" s="6"/>
      <c r="AA395" s="6" t="s">
        <v>173</v>
      </c>
    </row>
    <row r="396" spans="1:27" s="4" customFormat="1" ht="51.95" customHeight="1">
      <c r="A396" s="5">
        <v>0</v>
      </c>
      <c r="B396" s="6" t="s">
        <v>2434</v>
      </c>
      <c r="C396" s="13">
        <v>554.9</v>
      </c>
      <c r="D396" s="8" t="s">
        <v>2435</v>
      </c>
      <c r="E396" s="8" t="s">
        <v>2436</v>
      </c>
      <c r="F396" s="8" t="s">
        <v>2437</v>
      </c>
      <c r="G396" s="6" t="s">
        <v>53</v>
      </c>
      <c r="H396" s="6" t="s">
        <v>38</v>
      </c>
      <c r="I396" s="8" t="s">
        <v>76</v>
      </c>
      <c r="J396" s="9">
        <v>1</v>
      </c>
      <c r="K396" s="9">
        <v>150</v>
      </c>
      <c r="L396" s="9">
        <v>2018</v>
      </c>
      <c r="M396" s="8" t="s">
        <v>2438</v>
      </c>
      <c r="N396" s="8" t="s">
        <v>41</v>
      </c>
      <c r="O396" s="8" t="s">
        <v>96</v>
      </c>
      <c r="P396" s="6" t="s">
        <v>66</v>
      </c>
      <c r="Q396" s="8" t="s">
        <v>67</v>
      </c>
      <c r="R396" s="10" t="s">
        <v>1017</v>
      </c>
      <c r="S396" s="11"/>
      <c r="T396" s="6"/>
      <c r="U396" s="28" t="str">
        <f>HYPERLINK("https://media.infra-m.ru/0995/0995348/cover/995348.jpg", "Обложка")</f>
        <v>Обложка</v>
      </c>
      <c r="V396" s="28" t="str">
        <f>HYPERLINK("https://znanium.ru/catalog/product/1074318", "Ознакомиться")</f>
        <v>Ознакомиться</v>
      </c>
      <c r="W396" s="8" t="s">
        <v>1779</v>
      </c>
      <c r="X396" s="6"/>
      <c r="Y396" s="6"/>
      <c r="Z396" s="6"/>
      <c r="AA396" s="6" t="s">
        <v>82</v>
      </c>
    </row>
    <row r="397" spans="1:27" s="4" customFormat="1" ht="42" customHeight="1">
      <c r="A397" s="5">
        <v>0</v>
      </c>
      <c r="B397" s="6" t="s">
        <v>2439</v>
      </c>
      <c r="C397" s="7">
        <v>1490</v>
      </c>
      <c r="D397" s="8" t="s">
        <v>2440</v>
      </c>
      <c r="E397" s="8" t="s">
        <v>2441</v>
      </c>
      <c r="F397" s="8" t="s">
        <v>2442</v>
      </c>
      <c r="G397" s="6" t="s">
        <v>37</v>
      </c>
      <c r="H397" s="6" t="s">
        <v>38</v>
      </c>
      <c r="I397" s="8" t="s">
        <v>192</v>
      </c>
      <c r="J397" s="9">
        <v>1</v>
      </c>
      <c r="K397" s="9">
        <v>323</v>
      </c>
      <c r="L397" s="9">
        <v>2024</v>
      </c>
      <c r="M397" s="8" t="s">
        <v>2443</v>
      </c>
      <c r="N397" s="8" t="s">
        <v>41</v>
      </c>
      <c r="O397" s="8" t="s">
        <v>42</v>
      </c>
      <c r="P397" s="6" t="s">
        <v>78</v>
      </c>
      <c r="Q397" s="8" t="s">
        <v>97</v>
      </c>
      <c r="R397" s="10" t="s">
        <v>234</v>
      </c>
      <c r="S397" s="11"/>
      <c r="T397" s="6" t="s">
        <v>151</v>
      </c>
      <c r="U397" s="28" t="str">
        <f>HYPERLINK("https://media.infra-m.ru/1958/1958351/cover/1958351.jpg", "Обложка")</f>
        <v>Обложка</v>
      </c>
      <c r="V397" s="28" t="str">
        <f>HYPERLINK("https://znanium.ru/catalog/product/1958351", "Ознакомиться")</f>
        <v>Ознакомиться</v>
      </c>
      <c r="W397" s="8" t="s">
        <v>738</v>
      </c>
      <c r="X397" s="6" t="s">
        <v>2444</v>
      </c>
      <c r="Y397" s="6"/>
      <c r="Z397" s="6"/>
      <c r="AA397" s="6" t="s">
        <v>987</v>
      </c>
    </row>
    <row r="398" spans="1:27" s="4" customFormat="1" ht="51.95" customHeight="1">
      <c r="A398" s="5">
        <v>0</v>
      </c>
      <c r="B398" s="6" t="s">
        <v>2445</v>
      </c>
      <c r="C398" s="7">
        <v>1030</v>
      </c>
      <c r="D398" s="8" t="s">
        <v>2446</v>
      </c>
      <c r="E398" s="8" t="s">
        <v>2447</v>
      </c>
      <c r="F398" s="8" t="s">
        <v>2448</v>
      </c>
      <c r="G398" s="6" t="s">
        <v>75</v>
      </c>
      <c r="H398" s="6" t="s">
        <v>38</v>
      </c>
      <c r="I398" s="8" t="s">
        <v>859</v>
      </c>
      <c r="J398" s="9">
        <v>1</v>
      </c>
      <c r="K398" s="9">
        <v>228</v>
      </c>
      <c r="L398" s="9">
        <v>2023</v>
      </c>
      <c r="M398" s="8" t="s">
        <v>2449</v>
      </c>
      <c r="N398" s="8" t="s">
        <v>41</v>
      </c>
      <c r="O398" s="8" t="s">
        <v>96</v>
      </c>
      <c r="P398" s="6" t="s">
        <v>66</v>
      </c>
      <c r="Q398" s="8" t="s">
        <v>861</v>
      </c>
      <c r="R398" s="10" t="s">
        <v>862</v>
      </c>
      <c r="S398" s="11" t="s">
        <v>2450</v>
      </c>
      <c r="T398" s="6"/>
      <c r="U398" s="28" t="str">
        <f>HYPERLINK("https://media.infra-m.ru/2021/2021459/cover/2021459.jpg", "Обложка")</f>
        <v>Обложка</v>
      </c>
      <c r="V398" s="28" t="str">
        <f>HYPERLINK("https://znanium.ru/catalog/product/2021459", "Ознакомиться")</f>
        <v>Ознакомиться</v>
      </c>
      <c r="W398" s="8" t="s">
        <v>2451</v>
      </c>
      <c r="X398" s="6"/>
      <c r="Y398" s="6"/>
      <c r="Z398" s="6"/>
      <c r="AA398" s="6" t="s">
        <v>173</v>
      </c>
    </row>
    <row r="399" spans="1:27" s="4" customFormat="1" ht="51.95" customHeight="1">
      <c r="A399" s="5">
        <v>0</v>
      </c>
      <c r="B399" s="6" t="s">
        <v>2452</v>
      </c>
      <c r="C399" s="13">
        <v>764</v>
      </c>
      <c r="D399" s="8" t="s">
        <v>2453</v>
      </c>
      <c r="E399" s="8" t="s">
        <v>2454</v>
      </c>
      <c r="F399" s="8" t="s">
        <v>2455</v>
      </c>
      <c r="G399" s="6" t="s">
        <v>53</v>
      </c>
      <c r="H399" s="6" t="s">
        <v>38</v>
      </c>
      <c r="I399" s="8" t="s">
        <v>94</v>
      </c>
      <c r="J399" s="9">
        <v>1</v>
      </c>
      <c r="K399" s="9">
        <v>166</v>
      </c>
      <c r="L399" s="9">
        <v>2024</v>
      </c>
      <c r="M399" s="8" t="s">
        <v>2456</v>
      </c>
      <c r="N399" s="8" t="s">
        <v>41</v>
      </c>
      <c r="O399" s="8" t="s">
        <v>42</v>
      </c>
      <c r="P399" s="6" t="s">
        <v>66</v>
      </c>
      <c r="Q399" s="8" t="s">
        <v>97</v>
      </c>
      <c r="R399" s="10" t="s">
        <v>2457</v>
      </c>
      <c r="S399" s="11" t="s">
        <v>2458</v>
      </c>
      <c r="T399" s="6"/>
      <c r="U399" s="28" t="str">
        <f>HYPERLINK("https://media.infra-m.ru/2084/2084526/cover/2084526.jpg", "Обложка")</f>
        <v>Обложка</v>
      </c>
      <c r="V399" s="28" t="str">
        <f>HYPERLINK("https://znanium.ru/catalog/product/1361805", "Ознакомиться")</f>
        <v>Ознакомиться</v>
      </c>
      <c r="W399" s="8" t="s">
        <v>2459</v>
      </c>
      <c r="X399" s="6"/>
      <c r="Y399" s="6"/>
      <c r="Z399" s="6"/>
      <c r="AA399" s="6" t="s">
        <v>101</v>
      </c>
    </row>
    <row r="400" spans="1:27" s="4" customFormat="1" ht="51.95" customHeight="1">
      <c r="A400" s="5">
        <v>0</v>
      </c>
      <c r="B400" s="6" t="s">
        <v>2460</v>
      </c>
      <c r="C400" s="7">
        <v>1200</v>
      </c>
      <c r="D400" s="8" t="s">
        <v>2461</v>
      </c>
      <c r="E400" s="8" t="s">
        <v>2462</v>
      </c>
      <c r="F400" s="8" t="s">
        <v>2463</v>
      </c>
      <c r="G400" s="6" t="s">
        <v>75</v>
      </c>
      <c r="H400" s="6" t="s">
        <v>38</v>
      </c>
      <c r="I400" s="8" t="s">
        <v>94</v>
      </c>
      <c r="J400" s="9">
        <v>1</v>
      </c>
      <c r="K400" s="9">
        <v>245</v>
      </c>
      <c r="L400" s="9">
        <v>2023</v>
      </c>
      <c r="M400" s="8" t="s">
        <v>2464</v>
      </c>
      <c r="N400" s="8" t="s">
        <v>41</v>
      </c>
      <c r="O400" s="8" t="s">
        <v>42</v>
      </c>
      <c r="P400" s="6" t="s">
        <v>78</v>
      </c>
      <c r="Q400" s="8" t="s">
        <v>97</v>
      </c>
      <c r="R400" s="10" t="s">
        <v>2465</v>
      </c>
      <c r="S400" s="11" t="s">
        <v>2466</v>
      </c>
      <c r="T400" s="6"/>
      <c r="U400" s="28" t="str">
        <f>HYPERLINK("https://media.infra-m.ru/2119/2119556/cover/2119556.jpg", "Обложка")</f>
        <v>Обложка</v>
      </c>
      <c r="V400" s="28" t="str">
        <f>HYPERLINK("https://znanium.ru/catalog/product/1859083", "Ознакомиться")</f>
        <v>Ознакомиться</v>
      </c>
      <c r="W400" s="8" t="s">
        <v>109</v>
      </c>
      <c r="X400" s="6"/>
      <c r="Y400" s="6"/>
      <c r="Z400" s="6"/>
      <c r="AA400" s="6" t="s">
        <v>120</v>
      </c>
    </row>
    <row r="401" spans="1:27" s="4" customFormat="1" ht="51.95" customHeight="1">
      <c r="A401" s="5">
        <v>0</v>
      </c>
      <c r="B401" s="6" t="s">
        <v>2467</v>
      </c>
      <c r="C401" s="7">
        <v>1174</v>
      </c>
      <c r="D401" s="8" t="s">
        <v>2468</v>
      </c>
      <c r="E401" s="8" t="s">
        <v>2462</v>
      </c>
      <c r="F401" s="8" t="s">
        <v>2469</v>
      </c>
      <c r="G401" s="6" t="s">
        <v>75</v>
      </c>
      <c r="H401" s="6" t="s">
        <v>38</v>
      </c>
      <c r="I401" s="8" t="s">
        <v>199</v>
      </c>
      <c r="J401" s="9">
        <v>1</v>
      </c>
      <c r="K401" s="9">
        <v>248</v>
      </c>
      <c r="L401" s="9">
        <v>2024</v>
      </c>
      <c r="M401" s="8" t="s">
        <v>2470</v>
      </c>
      <c r="N401" s="8" t="s">
        <v>41</v>
      </c>
      <c r="O401" s="8" t="s">
        <v>42</v>
      </c>
      <c r="P401" s="6" t="s">
        <v>66</v>
      </c>
      <c r="Q401" s="8" t="s">
        <v>201</v>
      </c>
      <c r="R401" s="10" t="s">
        <v>2471</v>
      </c>
      <c r="S401" s="11" t="s">
        <v>2472</v>
      </c>
      <c r="T401" s="6"/>
      <c r="U401" s="28" t="str">
        <f>HYPERLINK("https://media.infra-m.ru/2139/2139781/cover/2139781.jpg", "Обложка")</f>
        <v>Обложка</v>
      </c>
      <c r="V401" s="28" t="str">
        <f>HYPERLINK("https://znanium.ru/catalog/product/2090562", "Ознакомиться")</f>
        <v>Ознакомиться</v>
      </c>
      <c r="W401" s="8" t="s">
        <v>884</v>
      </c>
      <c r="X401" s="6"/>
      <c r="Y401" s="6"/>
      <c r="Z401" s="6"/>
      <c r="AA401" s="6" t="s">
        <v>688</v>
      </c>
    </row>
    <row r="402" spans="1:27" s="4" customFormat="1" ht="51.95" customHeight="1">
      <c r="A402" s="5">
        <v>0</v>
      </c>
      <c r="B402" s="6" t="s">
        <v>2473</v>
      </c>
      <c r="C402" s="7">
        <v>1430</v>
      </c>
      <c r="D402" s="8" t="s">
        <v>2474</v>
      </c>
      <c r="E402" s="8" t="s">
        <v>2475</v>
      </c>
      <c r="F402" s="8" t="s">
        <v>2476</v>
      </c>
      <c r="G402" s="6" t="s">
        <v>75</v>
      </c>
      <c r="H402" s="6" t="s">
        <v>38</v>
      </c>
      <c r="I402" s="8" t="s">
        <v>94</v>
      </c>
      <c r="J402" s="9">
        <v>1</v>
      </c>
      <c r="K402" s="9">
        <v>407</v>
      </c>
      <c r="L402" s="9">
        <v>2021</v>
      </c>
      <c r="M402" s="8" t="s">
        <v>2477</v>
      </c>
      <c r="N402" s="8" t="s">
        <v>41</v>
      </c>
      <c r="O402" s="8" t="s">
        <v>42</v>
      </c>
      <c r="P402" s="6" t="s">
        <v>66</v>
      </c>
      <c r="Q402" s="8" t="s">
        <v>97</v>
      </c>
      <c r="R402" s="10" t="s">
        <v>2478</v>
      </c>
      <c r="S402" s="11" t="s">
        <v>2479</v>
      </c>
      <c r="T402" s="6"/>
      <c r="U402" s="28" t="str">
        <f>HYPERLINK("https://media.infra-m.ru/1176/1176302/cover/1176302.jpg", "Обложка")</f>
        <v>Обложка</v>
      </c>
      <c r="V402" s="28" t="str">
        <f>HYPERLINK("https://znanium.ru/catalog/product/1176302", "Ознакомиться")</f>
        <v>Ознакомиться</v>
      </c>
      <c r="W402" s="8" t="s">
        <v>2480</v>
      </c>
      <c r="X402" s="6"/>
      <c r="Y402" s="6"/>
      <c r="Z402" s="6"/>
      <c r="AA402" s="6" t="s">
        <v>213</v>
      </c>
    </row>
    <row r="403" spans="1:27" s="4" customFormat="1" ht="51.95" customHeight="1">
      <c r="A403" s="5">
        <v>0</v>
      </c>
      <c r="B403" s="6" t="s">
        <v>2481</v>
      </c>
      <c r="C403" s="13">
        <v>650</v>
      </c>
      <c r="D403" s="8" t="s">
        <v>2482</v>
      </c>
      <c r="E403" s="8" t="s">
        <v>2483</v>
      </c>
      <c r="F403" s="8" t="s">
        <v>2484</v>
      </c>
      <c r="G403" s="6" t="s">
        <v>75</v>
      </c>
      <c r="H403" s="6" t="s">
        <v>38</v>
      </c>
      <c r="I403" s="8" t="s">
        <v>199</v>
      </c>
      <c r="J403" s="9">
        <v>1</v>
      </c>
      <c r="K403" s="9">
        <v>167</v>
      </c>
      <c r="L403" s="9">
        <v>2022</v>
      </c>
      <c r="M403" s="8" t="s">
        <v>2485</v>
      </c>
      <c r="N403" s="8" t="s">
        <v>41</v>
      </c>
      <c r="O403" s="8" t="s">
        <v>42</v>
      </c>
      <c r="P403" s="6" t="s">
        <v>66</v>
      </c>
      <c r="Q403" s="8" t="s">
        <v>201</v>
      </c>
      <c r="R403" s="10" t="s">
        <v>2486</v>
      </c>
      <c r="S403" s="11" t="s">
        <v>2487</v>
      </c>
      <c r="T403" s="6"/>
      <c r="U403" s="28" t="str">
        <f>HYPERLINK("https://media.infra-m.ru/1864/1864109/cover/1864109.jpg", "Обложка")</f>
        <v>Обложка</v>
      </c>
      <c r="V403" s="28" t="str">
        <f>HYPERLINK("https://znanium.ru/catalog/product/1864109", "Ознакомиться")</f>
        <v>Ознакомиться</v>
      </c>
      <c r="W403" s="8" t="s">
        <v>567</v>
      </c>
      <c r="X403" s="6"/>
      <c r="Y403" s="6"/>
      <c r="Z403" s="6"/>
      <c r="AA403" s="6" t="s">
        <v>445</v>
      </c>
    </row>
    <row r="404" spans="1:27" s="4" customFormat="1" ht="51.95" customHeight="1">
      <c r="A404" s="5">
        <v>0</v>
      </c>
      <c r="B404" s="6" t="s">
        <v>2488</v>
      </c>
      <c r="C404" s="13">
        <v>770</v>
      </c>
      <c r="D404" s="8" t="s">
        <v>2489</v>
      </c>
      <c r="E404" s="8" t="s">
        <v>2490</v>
      </c>
      <c r="F404" s="8" t="s">
        <v>2491</v>
      </c>
      <c r="G404" s="6" t="s">
        <v>53</v>
      </c>
      <c r="H404" s="6" t="s">
        <v>38</v>
      </c>
      <c r="I404" s="8" t="s">
        <v>1614</v>
      </c>
      <c r="J404" s="9">
        <v>1</v>
      </c>
      <c r="K404" s="9">
        <v>225</v>
      </c>
      <c r="L404" s="9">
        <v>2019</v>
      </c>
      <c r="M404" s="8" t="s">
        <v>2492</v>
      </c>
      <c r="N404" s="8" t="s">
        <v>41</v>
      </c>
      <c r="O404" s="8" t="s">
        <v>56</v>
      </c>
      <c r="P404" s="6" t="s">
        <v>2493</v>
      </c>
      <c r="Q404" s="8" t="s">
        <v>44</v>
      </c>
      <c r="R404" s="10" t="s">
        <v>185</v>
      </c>
      <c r="S404" s="11"/>
      <c r="T404" s="6"/>
      <c r="U404" s="28" t="str">
        <f>HYPERLINK("https://media.infra-m.ru/1002/1002084/cover/1002084.jpg", "Обложка")</f>
        <v>Обложка</v>
      </c>
      <c r="V404" s="28" t="str">
        <f>HYPERLINK("https://znanium.ru/catalog/product/1002084", "Ознакомиться")</f>
        <v>Ознакомиться</v>
      </c>
      <c r="W404" s="8" t="s">
        <v>1199</v>
      </c>
      <c r="X404" s="6"/>
      <c r="Y404" s="6"/>
      <c r="Z404" s="6"/>
      <c r="AA404" s="6" t="s">
        <v>101</v>
      </c>
    </row>
    <row r="405" spans="1:27" s="4" customFormat="1" ht="51.95" customHeight="1">
      <c r="A405" s="5">
        <v>0</v>
      </c>
      <c r="B405" s="6" t="s">
        <v>2494</v>
      </c>
      <c r="C405" s="13">
        <v>524</v>
      </c>
      <c r="D405" s="8" t="s">
        <v>2495</v>
      </c>
      <c r="E405" s="8" t="s">
        <v>2490</v>
      </c>
      <c r="F405" s="8" t="s">
        <v>2496</v>
      </c>
      <c r="G405" s="6" t="s">
        <v>53</v>
      </c>
      <c r="H405" s="6" t="s">
        <v>64</v>
      </c>
      <c r="I405" s="8"/>
      <c r="J405" s="9">
        <v>1</v>
      </c>
      <c r="K405" s="9">
        <v>112</v>
      </c>
      <c r="L405" s="9">
        <v>2023</v>
      </c>
      <c r="M405" s="8" t="s">
        <v>2497</v>
      </c>
      <c r="N405" s="8" t="s">
        <v>41</v>
      </c>
      <c r="O405" s="8" t="s">
        <v>56</v>
      </c>
      <c r="P405" s="6" t="s">
        <v>66</v>
      </c>
      <c r="Q405" s="8" t="s">
        <v>67</v>
      </c>
      <c r="R405" s="10" t="s">
        <v>2498</v>
      </c>
      <c r="S405" s="11"/>
      <c r="T405" s="6"/>
      <c r="U405" s="28" t="str">
        <f>HYPERLINK("https://media.infra-m.ru/2006/2006914/cover/2006914.jpg", "Обложка")</f>
        <v>Обложка</v>
      </c>
      <c r="V405" s="28" t="str">
        <f>HYPERLINK("https://znanium.ru/catalog/product/2130190", "Ознакомиться")</f>
        <v>Ознакомиться</v>
      </c>
      <c r="W405" s="8" t="s">
        <v>69</v>
      </c>
      <c r="X405" s="6"/>
      <c r="Y405" s="6"/>
      <c r="Z405" s="6"/>
      <c r="AA405" s="6" t="s">
        <v>82</v>
      </c>
    </row>
    <row r="406" spans="1:27" s="4" customFormat="1" ht="51.95" customHeight="1">
      <c r="A406" s="5">
        <v>0</v>
      </c>
      <c r="B406" s="6" t="s">
        <v>2499</v>
      </c>
      <c r="C406" s="13">
        <v>650</v>
      </c>
      <c r="D406" s="8" t="s">
        <v>2500</v>
      </c>
      <c r="E406" s="8" t="s">
        <v>2501</v>
      </c>
      <c r="F406" s="8" t="s">
        <v>2496</v>
      </c>
      <c r="G406" s="6" t="s">
        <v>37</v>
      </c>
      <c r="H406" s="6" t="s">
        <v>64</v>
      </c>
      <c r="I406" s="8"/>
      <c r="J406" s="9">
        <v>1</v>
      </c>
      <c r="K406" s="9">
        <v>128</v>
      </c>
      <c r="L406" s="9">
        <v>2024</v>
      </c>
      <c r="M406" s="8" t="s">
        <v>2502</v>
      </c>
      <c r="N406" s="8" t="s">
        <v>41</v>
      </c>
      <c r="O406" s="8" t="s">
        <v>56</v>
      </c>
      <c r="P406" s="6" t="s">
        <v>66</v>
      </c>
      <c r="Q406" s="8" t="s">
        <v>67</v>
      </c>
      <c r="R406" s="10" t="s">
        <v>2498</v>
      </c>
      <c r="S406" s="11"/>
      <c r="T406" s="6"/>
      <c r="U406" s="28" t="str">
        <f>HYPERLINK("https://media.infra-m.ru/2130/2130190/cover/2130190.jpg", "Обложка")</f>
        <v>Обложка</v>
      </c>
      <c r="V406" s="28" t="str">
        <f>HYPERLINK("https://znanium.ru/catalog/product/2130190", "Ознакомиться")</f>
        <v>Ознакомиться</v>
      </c>
      <c r="W406" s="8" t="s">
        <v>69</v>
      </c>
      <c r="X406" s="6" t="s">
        <v>2503</v>
      </c>
      <c r="Y406" s="6"/>
      <c r="Z406" s="6"/>
      <c r="AA406" s="6" t="s">
        <v>1959</v>
      </c>
    </row>
    <row r="407" spans="1:27" s="4" customFormat="1" ht="42" customHeight="1">
      <c r="A407" s="5">
        <v>0</v>
      </c>
      <c r="B407" s="6" t="s">
        <v>2504</v>
      </c>
      <c r="C407" s="13">
        <v>724.9</v>
      </c>
      <c r="D407" s="8" t="s">
        <v>2505</v>
      </c>
      <c r="E407" s="8" t="s">
        <v>2506</v>
      </c>
      <c r="F407" s="8" t="s">
        <v>2507</v>
      </c>
      <c r="G407" s="6" t="s">
        <v>53</v>
      </c>
      <c r="H407" s="6" t="s">
        <v>38</v>
      </c>
      <c r="I407" s="8" t="s">
        <v>39</v>
      </c>
      <c r="J407" s="9">
        <v>1</v>
      </c>
      <c r="K407" s="9">
        <v>160</v>
      </c>
      <c r="L407" s="9">
        <v>2023</v>
      </c>
      <c r="M407" s="8" t="s">
        <v>2508</v>
      </c>
      <c r="N407" s="8" t="s">
        <v>41</v>
      </c>
      <c r="O407" s="8" t="s">
        <v>42</v>
      </c>
      <c r="P407" s="6" t="s">
        <v>43</v>
      </c>
      <c r="Q407" s="8" t="s">
        <v>44</v>
      </c>
      <c r="R407" s="10" t="s">
        <v>2509</v>
      </c>
      <c r="S407" s="11"/>
      <c r="T407" s="6" t="s">
        <v>151</v>
      </c>
      <c r="U407" s="28" t="str">
        <f>HYPERLINK("https://media.infra-m.ru/1911/1911812/cover/1911812.jpg", "Обложка")</f>
        <v>Обложка</v>
      </c>
      <c r="V407" s="28" t="str">
        <f>HYPERLINK("https://znanium.ru/catalog/product/501742", "Ознакомиться")</f>
        <v>Ознакомиться</v>
      </c>
      <c r="W407" s="8" t="s">
        <v>166</v>
      </c>
      <c r="X407" s="6"/>
      <c r="Y407" s="6"/>
      <c r="Z407" s="6"/>
      <c r="AA407" s="6" t="s">
        <v>321</v>
      </c>
    </row>
    <row r="408" spans="1:27" s="4" customFormat="1" ht="51.95" customHeight="1">
      <c r="A408" s="5">
        <v>0</v>
      </c>
      <c r="B408" s="6" t="s">
        <v>2510</v>
      </c>
      <c r="C408" s="13">
        <v>790</v>
      </c>
      <c r="D408" s="8" t="s">
        <v>2511</v>
      </c>
      <c r="E408" s="8" t="s">
        <v>2512</v>
      </c>
      <c r="F408" s="8" t="s">
        <v>2513</v>
      </c>
      <c r="G408" s="6" t="s">
        <v>75</v>
      </c>
      <c r="H408" s="6" t="s">
        <v>38</v>
      </c>
      <c r="I408" s="8" t="s">
        <v>224</v>
      </c>
      <c r="J408" s="9">
        <v>1</v>
      </c>
      <c r="K408" s="9">
        <v>175</v>
      </c>
      <c r="L408" s="9">
        <v>2023</v>
      </c>
      <c r="M408" s="8" t="s">
        <v>2514</v>
      </c>
      <c r="N408" s="8" t="s">
        <v>41</v>
      </c>
      <c r="O408" s="8" t="s">
        <v>42</v>
      </c>
      <c r="P408" s="6" t="s">
        <v>66</v>
      </c>
      <c r="Q408" s="8" t="s">
        <v>97</v>
      </c>
      <c r="R408" s="10" t="s">
        <v>2515</v>
      </c>
      <c r="S408" s="11" t="s">
        <v>2516</v>
      </c>
      <c r="T408" s="6"/>
      <c r="U408" s="28" t="str">
        <f>HYPERLINK("https://media.infra-m.ru/1926/1926426/cover/1926426.jpg", "Обложка")</f>
        <v>Обложка</v>
      </c>
      <c r="V408" s="28" t="str">
        <f>HYPERLINK("https://znanium.ru/catalog/product/1926426", "Ознакомиться")</f>
        <v>Ознакомиться</v>
      </c>
      <c r="W408" s="8" t="s">
        <v>1622</v>
      </c>
      <c r="X408" s="6"/>
      <c r="Y408" s="6"/>
      <c r="Z408" s="6"/>
      <c r="AA408" s="6" t="s">
        <v>688</v>
      </c>
    </row>
    <row r="409" spans="1:27" s="4" customFormat="1" ht="51.95" customHeight="1">
      <c r="A409" s="5">
        <v>0</v>
      </c>
      <c r="B409" s="6" t="s">
        <v>2517</v>
      </c>
      <c r="C409" s="13">
        <v>940</v>
      </c>
      <c r="D409" s="8" t="s">
        <v>2518</v>
      </c>
      <c r="E409" s="8" t="s">
        <v>2519</v>
      </c>
      <c r="F409" s="8" t="s">
        <v>2520</v>
      </c>
      <c r="G409" s="6" t="s">
        <v>75</v>
      </c>
      <c r="H409" s="6" t="s">
        <v>38</v>
      </c>
      <c r="I409" s="8" t="s">
        <v>192</v>
      </c>
      <c r="J409" s="9">
        <v>1</v>
      </c>
      <c r="K409" s="9">
        <v>190</v>
      </c>
      <c r="L409" s="9">
        <v>2024</v>
      </c>
      <c r="M409" s="8" t="s">
        <v>2521</v>
      </c>
      <c r="N409" s="8" t="s">
        <v>41</v>
      </c>
      <c r="O409" s="8" t="s">
        <v>42</v>
      </c>
      <c r="P409" s="6" t="s">
        <v>66</v>
      </c>
      <c r="Q409" s="8" t="s">
        <v>97</v>
      </c>
      <c r="R409" s="10" t="s">
        <v>378</v>
      </c>
      <c r="S409" s="11" t="s">
        <v>2522</v>
      </c>
      <c r="T409" s="6"/>
      <c r="U409" s="28" t="str">
        <f>HYPERLINK("https://media.infra-m.ru/2089/2089367/cover/2089367.jpg", "Обложка")</f>
        <v>Обложка</v>
      </c>
      <c r="V409" s="28" t="str">
        <f>HYPERLINK("https://znanium.ru/catalog/product/2089367", "Ознакомиться")</f>
        <v>Ознакомиться</v>
      </c>
      <c r="W409" s="8" t="s">
        <v>1821</v>
      </c>
      <c r="X409" s="6"/>
      <c r="Y409" s="6"/>
      <c r="Z409" s="6"/>
      <c r="AA409" s="6" t="s">
        <v>811</v>
      </c>
    </row>
    <row r="410" spans="1:27" s="4" customFormat="1" ht="51.95" customHeight="1">
      <c r="A410" s="5">
        <v>0</v>
      </c>
      <c r="B410" s="6" t="s">
        <v>2523</v>
      </c>
      <c r="C410" s="7">
        <v>1490</v>
      </c>
      <c r="D410" s="8" t="s">
        <v>2524</v>
      </c>
      <c r="E410" s="8" t="s">
        <v>2525</v>
      </c>
      <c r="F410" s="8" t="s">
        <v>2526</v>
      </c>
      <c r="G410" s="6" t="s">
        <v>75</v>
      </c>
      <c r="H410" s="6" t="s">
        <v>38</v>
      </c>
      <c r="I410" s="8" t="s">
        <v>139</v>
      </c>
      <c r="J410" s="9">
        <v>1</v>
      </c>
      <c r="K410" s="9">
        <v>324</v>
      </c>
      <c r="L410" s="9">
        <v>2024</v>
      </c>
      <c r="M410" s="8" t="s">
        <v>2527</v>
      </c>
      <c r="N410" s="8" t="s">
        <v>41</v>
      </c>
      <c r="O410" s="8" t="s">
        <v>42</v>
      </c>
      <c r="P410" s="6" t="s">
        <v>78</v>
      </c>
      <c r="Q410" s="8" t="s">
        <v>97</v>
      </c>
      <c r="R410" s="10" t="s">
        <v>486</v>
      </c>
      <c r="S410" s="11" t="s">
        <v>681</v>
      </c>
      <c r="T410" s="6"/>
      <c r="U410" s="28" t="str">
        <f>HYPERLINK("https://media.infra-m.ru/2078/2078401/cover/2078401.jpg", "Обложка")</f>
        <v>Обложка</v>
      </c>
      <c r="V410" s="28" t="str">
        <f>HYPERLINK("https://znanium.ru/catalog/product/2078401", "Ознакомиться")</f>
        <v>Ознакомиться</v>
      </c>
      <c r="W410" s="8" t="s">
        <v>119</v>
      </c>
      <c r="X410" s="6"/>
      <c r="Y410" s="6"/>
      <c r="Z410" s="6"/>
      <c r="AA410" s="6" t="s">
        <v>134</v>
      </c>
    </row>
    <row r="411" spans="1:27" s="4" customFormat="1" ht="51.95" customHeight="1">
      <c r="A411" s="5">
        <v>0</v>
      </c>
      <c r="B411" s="6" t="s">
        <v>2528</v>
      </c>
      <c r="C411" s="7">
        <v>1510</v>
      </c>
      <c r="D411" s="8" t="s">
        <v>2529</v>
      </c>
      <c r="E411" s="8" t="s">
        <v>2530</v>
      </c>
      <c r="F411" s="8" t="s">
        <v>2531</v>
      </c>
      <c r="G411" s="6" t="s">
        <v>75</v>
      </c>
      <c r="H411" s="6" t="s">
        <v>38</v>
      </c>
      <c r="I411" s="8" t="s">
        <v>192</v>
      </c>
      <c r="J411" s="9">
        <v>1</v>
      </c>
      <c r="K411" s="9">
        <v>320</v>
      </c>
      <c r="L411" s="9">
        <v>2024</v>
      </c>
      <c r="M411" s="8" t="s">
        <v>2532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2533</v>
      </c>
      <c r="S411" s="11" t="s">
        <v>2534</v>
      </c>
      <c r="T411" s="6"/>
      <c r="U411" s="28" t="str">
        <f>HYPERLINK("https://media.infra-m.ru/2152/2152065/cover/2152065.jpg", "Обложка")</f>
        <v>Обложка</v>
      </c>
      <c r="V411" s="28" t="str">
        <f>HYPERLINK("https://znanium.ru/catalog/product/2152065", "Ознакомиться")</f>
        <v>Ознакомиться</v>
      </c>
      <c r="W411" s="8" t="s">
        <v>2535</v>
      </c>
      <c r="X411" s="6"/>
      <c r="Y411" s="6"/>
      <c r="Z411" s="6"/>
      <c r="AA411" s="6" t="s">
        <v>347</v>
      </c>
    </row>
    <row r="412" spans="1:27" s="4" customFormat="1" ht="51.95" customHeight="1">
      <c r="A412" s="5">
        <v>0</v>
      </c>
      <c r="B412" s="6" t="s">
        <v>2536</v>
      </c>
      <c r="C412" s="7">
        <v>1130</v>
      </c>
      <c r="D412" s="8" t="s">
        <v>2537</v>
      </c>
      <c r="E412" s="8" t="s">
        <v>2538</v>
      </c>
      <c r="F412" s="8" t="s">
        <v>2531</v>
      </c>
      <c r="G412" s="6" t="s">
        <v>75</v>
      </c>
      <c r="H412" s="6" t="s">
        <v>38</v>
      </c>
      <c r="I412" s="8" t="s">
        <v>94</v>
      </c>
      <c r="J412" s="9">
        <v>1</v>
      </c>
      <c r="K412" s="9">
        <v>352</v>
      </c>
      <c r="L412" s="9">
        <v>2019</v>
      </c>
      <c r="M412" s="8" t="s">
        <v>2539</v>
      </c>
      <c r="N412" s="8" t="s">
        <v>41</v>
      </c>
      <c r="O412" s="8" t="s">
        <v>42</v>
      </c>
      <c r="P412" s="6" t="s">
        <v>78</v>
      </c>
      <c r="Q412" s="8" t="s">
        <v>97</v>
      </c>
      <c r="R412" s="10" t="s">
        <v>2533</v>
      </c>
      <c r="S412" s="11" t="s">
        <v>2540</v>
      </c>
      <c r="T412" s="6"/>
      <c r="U412" s="28" t="str">
        <f>HYPERLINK("https://media.infra-m.ru/1026/1026054/cover/1026054.jpg", "Обложка")</f>
        <v>Обложка</v>
      </c>
      <c r="V412" s="28" t="str">
        <f>HYPERLINK("https://znanium.ru/catalog/product/2152065", "Ознакомиться")</f>
        <v>Ознакомиться</v>
      </c>
      <c r="W412" s="8" t="s">
        <v>2535</v>
      </c>
      <c r="X412" s="6"/>
      <c r="Y412" s="6"/>
      <c r="Z412" s="6"/>
      <c r="AA412" s="6" t="s">
        <v>338</v>
      </c>
    </row>
    <row r="413" spans="1:27" s="4" customFormat="1" ht="42" customHeight="1">
      <c r="A413" s="5">
        <v>0</v>
      </c>
      <c r="B413" s="6" t="s">
        <v>2541</v>
      </c>
      <c r="C413" s="7">
        <v>1660</v>
      </c>
      <c r="D413" s="8" t="s">
        <v>2542</v>
      </c>
      <c r="E413" s="8" t="s">
        <v>2543</v>
      </c>
      <c r="F413" s="8" t="s">
        <v>2544</v>
      </c>
      <c r="G413" s="6" t="s">
        <v>75</v>
      </c>
      <c r="H413" s="6" t="s">
        <v>38</v>
      </c>
      <c r="I413" s="8" t="s">
        <v>139</v>
      </c>
      <c r="J413" s="9">
        <v>1</v>
      </c>
      <c r="K413" s="9">
        <v>359</v>
      </c>
      <c r="L413" s="9">
        <v>2024</v>
      </c>
      <c r="M413" s="8" t="s">
        <v>2545</v>
      </c>
      <c r="N413" s="8" t="s">
        <v>41</v>
      </c>
      <c r="O413" s="8" t="s">
        <v>42</v>
      </c>
      <c r="P413" s="6" t="s">
        <v>78</v>
      </c>
      <c r="Q413" s="8" t="s">
        <v>141</v>
      </c>
      <c r="R413" s="10" t="s">
        <v>2546</v>
      </c>
      <c r="S413" s="11"/>
      <c r="T413" s="6"/>
      <c r="U413" s="28" t="str">
        <f>HYPERLINK("https://media.infra-m.ru/2079/2079703/cover/2079703.jpg", "Обложка")</f>
        <v>Обложка</v>
      </c>
      <c r="V413" s="28" t="str">
        <f>HYPERLINK("https://znanium.ru/catalog/product/2079703", "Ознакомиться")</f>
        <v>Ознакомиться</v>
      </c>
      <c r="W413" s="8" t="s">
        <v>119</v>
      </c>
      <c r="X413" s="6"/>
      <c r="Y413" s="6"/>
      <c r="Z413" s="6"/>
      <c r="AA413" s="6" t="s">
        <v>251</v>
      </c>
    </row>
    <row r="414" spans="1:27" s="4" customFormat="1" ht="42" customHeight="1">
      <c r="A414" s="5">
        <v>0</v>
      </c>
      <c r="B414" s="6" t="s">
        <v>2547</v>
      </c>
      <c r="C414" s="7">
        <v>1130</v>
      </c>
      <c r="D414" s="8" t="s">
        <v>2548</v>
      </c>
      <c r="E414" s="8" t="s">
        <v>2549</v>
      </c>
      <c r="F414" s="8" t="s">
        <v>2544</v>
      </c>
      <c r="G414" s="6" t="s">
        <v>75</v>
      </c>
      <c r="H414" s="6" t="s">
        <v>38</v>
      </c>
      <c r="I414" s="8" t="s">
        <v>224</v>
      </c>
      <c r="J414" s="9">
        <v>1</v>
      </c>
      <c r="K414" s="9">
        <v>352</v>
      </c>
      <c r="L414" s="9">
        <v>2019</v>
      </c>
      <c r="M414" s="8" t="s">
        <v>2550</v>
      </c>
      <c r="N414" s="8" t="s">
        <v>41</v>
      </c>
      <c r="O414" s="8" t="s">
        <v>42</v>
      </c>
      <c r="P414" s="6" t="s">
        <v>78</v>
      </c>
      <c r="Q414" s="8" t="s">
        <v>97</v>
      </c>
      <c r="R414" s="10" t="s">
        <v>2546</v>
      </c>
      <c r="S414" s="11"/>
      <c r="T414" s="6"/>
      <c r="U414" s="28" t="str">
        <f>HYPERLINK("https://media.infra-m.ru/1004/1004233/cover/1004233.jpg", "Обложка")</f>
        <v>Обложка</v>
      </c>
      <c r="V414" s="28" t="str">
        <f>HYPERLINK("https://znanium.ru/catalog/product/2079703", "Ознакомиться")</f>
        <v>Ознакомиться</v>
      </c>
      <c r="W414" s="8" t="s">
        <v>119</v>
      </c>
      <c r="X414" s="6"/>
      <c r="Y414" s="6"/>
      <c r="Z414" s="6"/>
      <c r="AA414" s="6" t="s">
        <v>82</v>
      </c>
    </row>
    <row r="415" spans="1:27" s="4" customFormat="1" ht="51.95" customHeight="1">
      <c r="A415" s="5">
        <v>0</v>
      </c>
      <c r="B415" s="6" t="s">
        <v>2551</v>
      </c>
      <c r="C415" s="13">
        <v>734</v>
      </c>
      <c r="D415" s="8" t="s">
        <v>2552</v>
      </c>
      <c r="E415" s="8" t="s">
        <v>2549</v>
      </c>
      <c r="F415" s="8" t="s">
        <v>2553</v>
      </c>
      <c r="G415" s="6" t="s">
        <v>37</v>
      </c>
      <c r="H415" s="6" t="s">
        <v>38</v>
      </c>
      <c r="I415" s="8" t="s">
        <v>94</v>
      </c>
      <c r="J415" s="9">
        <v>1</v>
      </c>
      <c r="K415" s="9">
        <v>160</v>
      </c>
      <c r="L415" s="9">
        <v>2024</v>
      </c>
      <c r="M415" s="8" t="s">
        <v>2554</v>
      </c>
      <c r="N415" s="8" t="s">
        <v>41</v>
      </c>
      <c r="O415" s="8" t="s">
        <v>42</v>
      </c>
      <c r="P415" s="6" t="s">
        <v>66</v>
      </c>
      <c r="Q415" s="8" t="s">
        <v>97</v>
      </c>
      <c r="R415" s="10" t="s">
        <v>2555</v>
      </c>
      <c r="S415" s="11" t="s">
        <v>2556</v>
      </c>
      <c r="T415" s="6"/>
      <c r="U415" s="28" t="str">
        <f>HYPERLINK("https://media.infra-m.ru/2125/2125184/cover/2125184.jpg", "Обложка")</f>
        <v>Обложка</v>
      </c>
      <c r="V415" s="28" t="str">
        <f>HYPERLINK("https://znanium.ru/catalog/product/2125184", "Ознакомиться")</f>
        <v>Ознакомиться</v>
      </c>
      <c r="W415" s="8" t="s">
        <v>488</v>
      </c>
      <c r="X415" s="6"/>
      <c r="Y415" s="6"/>
      <c r="Z415" s="6"/>
      <c r="AA415" s="6" t="s">
        <v>59</v>
      </c>
    </row>
    <row r="416" spans="1:27" s="4" customFormat="1" ht="51.95" customHeight="1">
      <c r="A416" s="5">
        <v>0</v>
      </c>
      <c r="B416" s="6" t="s">
        <v>2557</v>
      </c>
      <c r="C416" s="7">
        <v>1140</v>
      </c>
      <c r="D416" s="8" t="s">
        <v>2558</v>
      </c>
      <c r="E416" s="8" t="s">
        <v>2559</v>
      </c>
      <c r="F416" s="8" t="s">
        <v>2560</v>
      </c>
      <c r="G416" s="6" t="s">
        <v>75</v>
      </c>
      <c r="H416" s="6" t="s">
        <v>38</v>
      </c>
      <c r="I416" s="8" t="s">
        <v>76</v>
      </c>
      <c r="J416" s="9">
        <v>1</v>
      </c>
      <c r="K416" s="9">
        <v>253</v>
      </c>
      <c r="L416" s="9">
        <v>2023</v>
      </c>
      <c r="M416" s="8" t="s">
        <v>2561</v>
      </c>
      <c r="N416" s="8" t="s">
        <v>41</v>
      </c>
      <c r="O416" s="8" t="s">
        <v>42</v>
      </c>
      <c r="P416" s="6" t="s">
        <v>66</v>
      </c>
      <c r="Q416" s="8" t="s">
        <v>67</v>
      </c>
      <c r="R416" s="10" t="s">
        <v>107</v>
      </c>
      <c r="S416" s="11" t="s">
        <v>2562</v>
      </c>
      <c r="T416" s="6"/>
      <c r="U416" s="28" t="str">
        <f>HYPERLINK("https://media.infra-m.ru/1926/1926425/cover/1926425.jpg", "Обложка")</f>
        <v>Обложка</v>
      </c>
      <c r="V416" s="28" t="str">
        <f>HYPERLINK("https://znanium.ru/catalog/product/1926425", "Ознакомиться")</f>
        <v>Ознакомиться</v>
      </c>
      <c r="W416" s="8" t="s">
        <v>404</v>
      </c>
      <c r="X416" s="6"/>
      <c r="Y416" s="6"/>
      <c r="Z416" s="6"/>
      <c r="AA416" s="6" t="s">
        <v>405</v>
      </c>
    </row>
    <row r="417" spans="1:27" s="4" customFormat="1" ht="42" customHeight="1">
      <c r="A417" s="5">
        <v>0</v>
      </c>
      <c r="B417" s="6" t="s">
        <v>2563</v>
      </c>
      <c r="C417" s="13">
        <v>324.89999999999998</v>
      </c>
      <c r="D417" s="8" t="s">
        <v>2564</v>
      </c>
      <c r="E417" s="8" t="s">
        <v>2565</v>
      </c>
      <c r="F417" s="8" t="s">
        <v>2566</v>
      </c>
      <c r="G417" s="6" t="s">
        <v>53</v>
      </c>
      <c r="H417" s="6" t="s">
        <v>54</v>
      </c>
      <c r="I417" s="8" t="s">
        <v>1403</v>
      </c>
      <c r="J417" s="9">
        <v>1</v>
      </c>
      <c r="K417" s="9">
        <v>111</v>
      </c>
      <c r="L417" s="9">
        <v>2022</v>
      </c>
      <c r="M417" s="8" t="s">
        <v>2567</v>
      </c>
      <c r="N417" s="8" t="s">
        <v>41</v>
      </c>
      <c r="O417" s="8" t="s">
        <v>42</v>
      </c>
      <c r="P417" s="6" t="s">
        <v>66</v>
      </c>
      <c r="Q417" s="8" t="s">
        <v>97</v>
      </c>
      <c r="R417" s="10" t="s">
        <v>1426</v>
      </c>
      <c r="S417" s="11"/>
      <c r="T417" s="6"/>
      <c r="U417" s="28" t="str">
        <f>HYPERLINK("https://media.infra-m.ru/1839/1839703/cover/1839703.jpg", "Обложка")</f>
        <v>Обложка</v>
      </c>
      <c r="V417" s="28" t="str">
        <f>HYPERLINK("https://znanium.ru/catalog/product/1839703", "Ознакомиться")</f>
        <v>Ознакомиться</v>
      </c>
      <c r="W417" s="8"/>
      <c r="X417" s="6"/>
      <c r="Y417" s="6"/>
      <c r="Z417" s="6"/>
      <c r="AA417" s="6" t="s">
        <v>372</v>
      </c>
    </row>
    <row r="418" spans="1:27" s="4" customFormat="1" ht="51.95" customHeight="1">
      <c r="A418" s="5">
        <v>0</v>
      </c>
      <c r="B418" s="6" t="s">
        <v>2568</v>
      </c>
      <c r="C418" s="7">
        <v>1580</v>
      </c>
      <c r="D418" s="8" t="s">
        <v>2569</v>
      </c>
      <c r="E418" s="8" t="s">
        <v>2570</v>
      </c>
      <c r="F418" s="8" t="s">
        <v>2571</v>
      </c>
      <c r="G418" s="6" t="s">
        <v>75</v>
      </c>
      <c r="H418" s="6" t="s">
        <v>38</v>
      </c>
      <c r="I418" s="8" t="s">
        <v>94</v>
      </c>
      <c r="J418" s="9">
        <v>1</v>
      </c>
      <c r="K418" s="9">
        <v>345</v>
      </c>
      <c r="L418" s="9">
        <v>2023</v>
      </c>
      <c r="M418" s="8" t="s">
        <v>2572</v>
      </c>
      <c r="N418" s="8" t="s">
        <v>41</v>
      </c>
      <c r="O418" s="8" t="s">
        <v>42</v>
      </c>
      <c r="P418" s="6" t="s">
        <v>78</v>
      </c>
      <c r="Q418" s="8" t="s">
        <v>97</v>
      </c>
      <c r="R418" s="10" t="s">
        <v>234</v>
      </c>
      <c r="S418" s="11" t="s">
        <v>165</v>
      </c>
      <c r="T418" s="6"/>
      <c r="U418" s="28" t="str">
        <f>HYPERLINK("https://media.infra-m.ru/1907/1907366/cover/1907366.jpg", "Обложка")</f>
        <v>Обложка</v>
      </c>
      <c r="V418" s="28" t="str">
        <f>HYPERLINK("https://znanium.ru/catalog/product/1907366", "Ознакомиться")</f>
        <v>Ознакомиться</v>
      </c>
      <c r="W418" s="8" t="s">
        <v>166</v>
      </c>
      <c r="X418" s="6"/>
      <c r="Y418" s="6"/>
      <c r="Z418" s="6"/>
      <c r="AA418" s="6" t="s">
        <v>70</v>
      </c>
    </row>
    <row r="419" spans="1:27" s="4" customFormat="1" ht="51.95" customHeight="1">
      <c r="A419" s="5">
        <v>0</v>
      </c>
      <c r="B419" s="6" t="s">
        <v>2573</v>
      </c>
      <c r="C419" s="7">
        <v>1590</v>
      </c>
      <c r="D419" s="8" t="s">
        <v>2574</v>
      </c>
      <c r="E419" s="8" t="s">
        <v>2570</v>
      </c>
      <c r="F419" s="8" t="s">
        <v>2571</v>
      </c>
      <c r="G419" s="6" t="s">
        <v>75</v>
      </c>
      <c r="H419" s="6" t="s">
        <v>38</v>
      </c>
      <c r="I419" s="8" t="s">
        <v>199</v>
      </c>
      <c r="J419" s="9">
        <v>1</v>
      </c>
      <c r="K419" s="9">
        <v>345</v>
      </c>
      <c r="L419" s="9">
        <v>2024</v>
      </c>
      <c r="M419" s="8" t="s">
        <v>2575</v>
      </c>
      <c r="N419" s="8" t="s">
        <v>41</v>
      </c>
      <c r="O419" s="8" t="s">
        <v>42</v>
      </c>
      <c r="P419" s="6" t="s">
        <v>78</v>
      </c>
      <c r="Q419" s="8" t="s">
        <v>201</v>
      </c>
      <c r="R419" s="10" t="s">
        <v>202</v>
      </c>
      <c r="S419" s="11" t="s">
        <v>2576</v>
      </c>
      <c r="T419" s="6"/>
      <c r="U419" s="28" t="str">
        <f>HYPERLINK("https://media.infra-m.ru/2078/2078394/cover/2078394.jpg", "Обложка")</f>
        <v>Обложка</v>
      </c>
      <c r="V419" s="28" t="str">
        <f>HYPERLINK("https://znanium.ru/catalog/product/2078394", "Ознакомиться")</f>
        <v>Ознакомиться</v>
      </c>
      <c r="W419" s="8" t="s">
        <v>166</v>
      </c>
      <c r="X419" s="6"/>
      <c r="Y419" s="6"/>
      <c r="Z419" s="6" t="s">
        <v>204</v>
      </c>
      <c r="AA419" s="6" t="s">
        <v>688</v>
      </c>
    </row>
    <row r="420" spans="1:27" s="4" customFormat="1" ht="42" customHeight="1">
      <c r="A420" s="5">
        <v>0</v>
      </c>
      <c r="B420" s="6" t="s">
        <v>2577</v>
      </c>
      <c r="C420" s="7">
        <v>1130</v>
      </c>
      <c r="D420" s="8" t="s">
        <v>2578</v>
      </c>
      <c r="E420" s="8" t="s">
        <v>2579</v>
      </c>
      <c r="F420" s="8" t="s">
        <v>2580</v>
      </c>
      <c r="G420" s="6" t="s">
        <v>75</v>
      </c>
      <c r="H420" s="6" t="s">
        <v>352</v>
      </c>
      <c r="I420" s="8"/>
      <c r="J420" s="9">
        <v>1</v>
      </c>
      <c r="K420" s="9">
        <v>240</v>
      </c>
      <c r="L420" s="9">
        <v>2024</v>
      </c>
      <c r="M420" s="8" t="s">
        <v>2581</v>
      </c>
      <c r="N420" s="8" t="s">
        <v>41</v>
      </c>
      <c r="O420" s="8" t="s">
        <v>42</v>
      </c>
      <c r="P420" s="6" t="s">
        <v>78</v>
      </c>
      <c r="Q420" s="8" t="s">
        <v>97</v>
      </c>
      <c r="R420" s="10" t="s">
        <v>426</v>
      </c>
      <c r="S420" s="11"/>
      <c r="T420" s="6"/>
      <c r="U420" s="28" t="str">
        <f>HYPERLINK("https://media.infra-m.ru/2141/2141040/cover/2141040.jpg", "Обложка")</f>
        <v>Обложка</v>
      </c>
      <c r="V420" s="28" t="str">
        <f>HYPERLINK("https://znanium.ru/catalog/product/2141040", "Ознакомиться")</f>
        <v>Ознакомиться</v>
      </c>
      <c r="W420" s="8" t="s">
        <v>46</v>
      </c>
      <c r="X420" s="6"/>
      <c r="Y420" s="6"/>
      <c r="Z420" s="6"/>
      <c r="AA420" s="6" t="s">
        <v>173</v>
      </c>
    </row>
    <row r="421" spans="1:27" s="4" customFormat="1" ht="44.1" customHeight="1">
      <c r="A421" s="5">
        <v>0</v>
      </c>
      <c r="B421" s="6" t="s">
        <v>2582</v>
      </c>
      <c r="C421" s="13">
        <v>714</v>
      </c>
      <c r="D421" s="8" t="s">
        <v>2583</v>
      </c>
      <c r="E421" s="8" t="s">
        <v>2584</v>
      </c>
      <c r="F421" s="8" t="s">
        <v>2585</v>
      </c>
      <c r="G421" s="6" t="s">
        <v>53</v>
      </c>
      <c r="H421" s="6" t="s">
        <v>38</v>
      </c>
      <c r="I421" s="8" t="s">
        <v>1241</v>
      </c>
      <c r="J421" s="9">
        <v>1</v>
      </c>
      <c r="K421" s="9">
        <v>157</v>
      </c>
      <c r="L421" s="9">
        <v>2023</v>
      </c>
      <c r="M421" s="8" t="s">
        <v>2586</v>
      </c>
      <c r="N421" s="8" t="s">
        <v>41</v>
      </c>
      <c r="O421" s="8" t="s">
        <v>42</v>
      </c>
      <c r="P421" s="6" t="s">
        <v>43</v>
      </c>
      <c r="Q421" s="8" t="s">
        <v>44</v>
      </c>
      <c r="R421" s="10" t="s">
        <v>2587</v>
      </c>
      <c r="S421" s="11"/>
      <c r="T421" s="6"/>
      <c r="U421" s="28" t="str">
        <f>HYPERLINK("https://media.infra-m.ru/2021/2021465/cover/2021465.jpg", "Обложка")</f>
        <v>Обложка</v>
      </c>
      <c r="V421" s="28" t="str">
        <f>HYPERLINK("https://znanium.ru/catalog/product/972316", "Ознакомиться")</f>
        <v>Ознакомиться</v>
      </c>
      <c r="W421" s="8" t="s">
        <v>119</v>
      </c>
      <c r="X421" s="6"/>
      <c r="Y421" s="6"/>
      <c r="Z421" s="6"/>
      <c r="AA421" s="6" t="s">
        <v>173</v>
      </c>
    </row>
    <row r="422" spans="1:27" s="4" customFormat="1" ht="42" customHeight="1">
      <c r="A422" s="5">
        <v>0</v>
      </c>
      <c r="B422" s="6" t="s">
        <v>2588</v>
      </c>
      <c r="C422" s="13">
        <v>870</v>
      </c>
      <c r="D422" s="8" t="s">
        <v>2589</v>
      </c>
      <c r="E422" s="8" t="s">
        <v>2590</v>
      </c>
      <c r="F422" s="8" t="s">
        <v>2591</v>
      </c>
      <c r="G422" s="6" t="s">
        <v>53</v>
      </c>
      <c r="H422" s="6" t="s">
        <v>38</v>
      </c>
      <c r="I422" s="8" t="s">
        <v>39</v>
      </c>
      <c r="J422" s="9">
        <v>1</v>
      </c>
      <c r="K422" s="9">
        <v>208</v>
      </c>
      <c r="L422" s="9">
        <v>2024</v>
      </c>
      <c r="M422" s="8" t="s">
        <v>2592</v>
      </c>
      <c r="N422" s="8" t="s">
        <v>41</v>
      </c>
      <c r="O422" s="8" t="s">
        <v>42</v>
      </c>
      <c r="P422" s="6" t="s">
        <v>43</v>
      </c>
      <c r="Q422" s="8" t="s">
        <v>44</v>
      </c>
      <c r="R422" s="10" t="s">
        <v>2593</v>
      </c>
      <c r="S422" s="11"/>
      <c r="T422" s="6"/>
      <c r="U422" s="28" t="str">
        <f>HYPERLINK("https://media.infra-m.ru/1894/1894489/cover/1894489.jpg", "Обложка")</f>
        <v>Обложка</v>
      </c>
      <c r="V422" s="28" t="str">
        <f>HYPERLINK("https://znanium.ru/catalog/product/1894489", "Ознакомиться")</f>
        <v>Ознакомиться</v>
      </c>
      <c r="W422" s="8" t="s">
        <v>119</v>
      </c>
      <c r="X422" s="6"/>
      <c r="Y422" s="6"/>
      <c r="Z422" s="6"/>
      <c r="AA422" s="6" t="s">
        <v>688</v>
      </c>
    </row>
    <row r="423" spans="1:27" s="4" customFormat="1" ht="44.1" customHeight="1">
      <c r="A423" s="5">
        <v>0</v>
      </c>
      <c r="B423" s="6" t="s">
        <v>2594</v>
      </c>
      <c r="C423" s="13">
        <v>690</v>
      </c>
      <c r="D423" s="8" t="s">
        <v>2595</v>
      </c>
      <c r="E423" s="8" t="s">
        <v>2596</v>
      </c>
      <c r="F423" s="8" t="s">
        <v>2597</v>
      </c>
      <c r="G423" s="6" t="s">
        <v>37</v>
      </c>
      <c r="H423" s="6" t="s">
        <v>1450</v>
      </c>
      <c r="I423" s="8"/>
      <c r="J423" s="9">
        <v>1</v>
      </c>
      <c r="K423" s="9">
        <v>224</v>
      </c>
      <c r="L423" s="9">
        <v>2018</v>
      </c>
      <c r="M423" s="8" t="s">
        <v>2598</v>
      </c>
      <c r="N423" s="8" t="s">
        <v>41</v>
      </c>
      <c r="O423" s="8" t="s">
        <v>42</v>
      </c>
      <c r="P423" s="6" t="s">
        <v>43</v>
      </c>
      <c r="Q423" s="8" t="s">
        <v>471</v>
      </c>
      <c r="R423" s="10" t="s">
        <v>2599</v>
      </c>
      <c r="S423" s="11"/>
      <c r="T423" s="6"/>
      <c r="U423" s="28" t="str">
        <f>HYPERLINK("https://media.infra-m.ru/0966/0966352/cover/966352.jpg", "Обложка")</f>
        <v>Обложка</v>
      </c>
      <c r="V423" s="28" t="str">
        <f>HYPERLINK("https://znanium.ru/catalog/product/966352", "Ознакомиться")</f>
        <v>Ознакомиться</v>
      </c>
      <c r="W423" s="8" t="s">
        <v>1230</v>
      </c>
      <c r="X423" s="6"/>
      <c r="Y423" s="6"/>
      <c r="Z423" s="6"/>
      <c r="AA423" s="6" t="s">
        <v>101</v>
      </c>
    </row>
    <row r="424" spans="1:27" s="4" customFormat="1" ht="33" customHeight="1">
      <c r="A424" s="5">
        <v>0</v>
      </c>
      <c r="B424" s="6" t="s">
        <v>2600</v>
      </c>
      <c r="C424" s="13">
        <v>991.9</v>
      </c>
      <c r="D424" s="8" t="s">
        <v>2601</v>
      </c>
      <c r="E424" s="8" t="s">
        <v>2602</v>
      </c>
      <c r="F424" s="8" t="s">
        <v>2603</v>
      </c>
      <c r="G424" s="6" t="s">
        <v>37</v>
      </c>
      <c r="H424" s="6" t="s">
        <v>352</v>
      </c>
      <c r="I424" s="8"/>
      <c r="J424" s="9">
        <v>1</v>
      </c>
      <c r="K424" s="9">
        <v>176</v>
      </c>
      <c r="L424" s="9">
        <v>2020</v>
      </c>
      <c r="M424" s="8" t="s">
        <v>2604</v>
      </c>
      <c r="N424" s="8" t="s">
        <v>41</v>
      </c>
      <c r="O424" s="8" t="s">
        <v>42</v>
      </c>
      <c r="P424" s="6" t="s">
        <v>43</v>
      </c>
      <c r="Q424" s="8" t="s">
        <v>44</v>
      </c>
      <c r="R424" s="10"/>
      <c r="S424" s="11"/>
      <c r="T424" s="6"/>
      <c r="U424" s="12"/>
      <c r="V424" s="12"/>
      <c r="W424" s="8" t="s">
        <v>328</v>
      </c>
      <c r="X424" s="6"/>
      <c r="Y424" s="6"/>
      <c r="Z424" s="6"/>
      <c r="AA424" s="6" t="s">
        <v>405</v>
      </c>
    </row>
    <row r="425" spans="1:27" s="4" customFormat="1" ht="51.95" customHeight="1">
      <c r="A425" s="5">
        <v>0</v>
      </c>
      <c r="B425" s="6" t="s">
        <v>2605</v>
      </c>
      <c r="C425" s="13">
        <v>974.9</v>
      </c>
      <c r="D425" s="8" t="s">
        <v>2606</v>
      </c>
      <c r="E425" s="8" t="s">
        <v>2607</v>
      </c>
      <c r="F425" s="8" t="s">
        <v>2608</v>
      </c>
      <c r="G425" s="6" t="s">
        <v>37</v>
      </c>
      <c r="H425" s="6" t="s">
        <v>352</v>
      </c>
      <c r="I425" s="8"/>
      <c r="J425" s="9">
        <v>1</v>
      </c>
      <c r="K425" s="9">
        <v>256</v>
      </c>
      <c r="L425" s="9">
        <v>2022</v>
      </c>
      <c r="M425" s="8" t="s">
        <v>2609</v>
      </c>
      <c r="N425" s="8" t="s">
        <v>41</v>
      </c>
      <c r="O425" s="8" t="s">
        <v>56</v>
      </c>
      <c r="P425" s="6" t="s">
        <v>66</v>
      </c>
      <c r="Q425" s="8" t="s">
        <v>97</v>
      </c>
      <c r="R425" s="10" t="s">
        <v>2610</v>
      </c>
      <c r="S425" s="11"/>
      <c r="T425" s="6"/>
      <c r="U425" s="28" t="str">
        <f>HYPERLINK("https://media.infra-m.ru/1844/1844312/cover/1844312.jpg", "Обложка")</f>
        <v>Обложка</v>
      </c>
      <c r="V425" s="28" t="str">
        <f>HYPERLINK("https://znanium.ru/catalog/product/1844312", "Ознакомиться")</f>
        <v>Ознакомиться</v>
      </c>
      <c r="W425" s="8" t="s">
        <v>1199</v>
      </c>
      <c r="X425" s="6"/>
      <c r="Y425" s="6"/>
      <c r="Z425" s="6"/>
      <c r="AA425" s="6" t="s">
        <v>59</v>
      </c>
    </row>
    <row r="426" spans="1:27" s="4" customFormat="1" ht="42" customHeight="1">
      <c r="A426" s="5">
        <v>0</v>
      </c>
      <c r="B426" s="6" t="s">
        <v>2611</v>
      </c>
      <c r="C426" s="13">
        <v>974.9</v>
      </c>
      <c r="D426" s="8" t="s">
        <v>2612</v>
      </c>
      <c r="E426" s="8" t="s">
        <v>2613</v>
      </c>
      <c r="F426" s="8" t="s">
        <v>2614</v>
      </c>
      <c r="G426" s="6" t="s">
        <v>37</v>
      </c>
      <c r="H426" s="6" t="s">
        <v>64</v>
      </c>
      <c r="I426" s="8"/>
      <c r="J426" s="9">
        <v>1</v>
      </c>
      <c r="K426" s="9">
        <v>288</v>
      </c>
      <c r="L426" s="9">
        <v>2019</v>
      </c>
      <c r="M426" s="8" t="s">
        <v>2615</v>
      </c>
      <c r="N426" s="8" t="s">
        <v>41</v>
      </c>
      <c r="O426" s="8" t="s">
        <v>56</v>
      </c>
      <c r="P426" s="6" t="s">
        <v>43</v>
      </c>
      <c r="Q426" s="8" t="s">
        <v>44</v>
      </c>
      <c r="R426" s="10" t="s">
        <v>68</v>
      </c>
      <c r="S426" s="11"/>
      <c r="T426" s="6"/>
      <c r="U426" s="28" t="str">
        <f>HYPERLINK("https://media.infra-m.ru/1011/1011094/cover/1011094.jpg", "Обложка")</f>
        <v>Обложка</v>
      </c>
      <c r="V426" s="28" t="str">
        <f>HYPERLINK("https://znanium.ru/catalog/product/1011094", "Ознакомиться")</f>
        <v>Ознакомиться</v>
      </c>
      <c r="W426" s="8" t="s">
        <v>328</v>
      </c>
      <c r="X426" s="6"/>
      <c r="Y426" s="6"/>
      <c r="Z426" s="6"/>
      <c r="AA426" s="6" t="s">
        <v>213</v>
      </c>
    </row>
    <row r="427" spans="1:27" s="4" customFormat="1" ht="51.95" customHeight="1">
      <c r="A427" s="5">
        <v>0</v>
      </c>
      <c r="B427" s="6" t="s">
        <v>2616</v>
      </c>
      <c r="C427" s="13">
        <v>690</v>
      </c>
      <c r="D427" s="8" t="s">
        <v>2617</v>
      </c>
      <c r="E427" s="8" t="s">
        <v>2618</v>
      </c>
      <c r="F427" s="8" t="s">
        <v>2619</v>
      </c>
      <c r="G427" s="6" t="s">
        <v>37</v>
      </c>
      <c r="H427" s="6" t="s">
        <v>64</v>
      </c>
      <c r="I427" s="8"/>
      <c r="J427" s="9">
        <v>1</v>
      </c>
      <c r="K427" s="9">
        <v>144</v>
      </c>
      <c r="L427" s="9">
        <v>2024</v>
      </c>
      <c r="M427" s="8" t="s">
        <v>2620</v>
      </c>
      <c r="N427" s="8" t="s">
        <v>41</v>
      </c>
      <c r="O427" s="8" t="s">
        <v>56</v>
      </c>
      <c r="P427" s="6" t="s">
        <v>66</v>
      </c>
      <c r="Q427" s="8" t="s">
        <v>67</v>
      </c>
      <c r="R427" s="10" t="s">
        <v>2621</v>
      </c>
      <c r="S427" s="11"/>
      <c r="T427" s="6"/>
      <c r="U427" s="28" t="str">
        <f>HYPERLINK("https://media.infra-m.ru/2082/2082404/cover/2082404.jpg", "Обложка")</f>
        <v>Обложка</v>
      </c>
      <c r="V427" s="28" t="str">
        <f>HYPERLINK("https://znanium.ru/catalog/product/2082404", "Ознакомиться")</f>
        <v>Ознакомиться</v>
      </c>
      <c r="W427" s="8" t="s">
        <v>69</v>
      </c>
      <c r="X427" s="6" t="s">
        <v>1536</v>
      </c>
      <c r="Y427" s="6"/>
      <c r="Z427" s="6"/>
      <c r="AA427" s="6" t="s">
        <v>1959</v>
      </c>
    </row>
    <row r="428" spans="1:27" s="4" customFormat="1" ht="51.95" customHeight="1">
      <c r="A428" s="5">
        <v>0</v>
      </c>
      <c r="B428" s="6" t="s">
        <v>2622</v>
      </c>
      <c r="C428" s="13">
        <v>510</v>
      </c>
      <c r="D428" s="8" t="s">
        <v>2623</v>
      </c>
      <c r="E428" s="8" t="s">
        <v>2624</v>
      </c>
      <c r="F428" s="8" t="s">
        <v>2625</v>
      </c>
      <c r="G428" s="6" t="s">
        <v>53</v>
      </c>
      <c r="H428" s="6" t="s">
        <v>64</v>
      </c>
      <c r="I428" s="8"/>
      <c r="J428" s="9">
        <v>1</v>
      </c>
      <c r="K428" s="9">
        <v>96</v>
      </c>
      <c r="L428" s="9">
        <v>2024</v>
      </c>
      <c r="M428" s="8" t="s">
        <v>2626</v>
      </c>
      <c r="N428" s="8" t="s">
        <v>41</v>
      </c>
      <c r="O428" s="8" t="s">
        <v>56</v>
      </c>
      <c r="P428" s="6" t="s">
        <v>43</v>
      </c>
      <c r="Q428" s="8" t="s">
        <v>471</v>
      </c>
      <c r="R428" s="10" t="s">
        <v>2627</v>
      </c>
      <c r="S428" s="11"/>
      <c r="T428" s="6"/>
      <c r="U428" s="28" t="str">
        <f>HYPERLINK("https://media.infra-m.ru/2136/2136105/cover/2136105.jpg", "Обложка")</f>
        <v>Обложка</v>
      </c>
      <c r="V428" s="28" t="str">
        <f>HYPERLINK("https://znanium.ru/catalog/product/1854737", "Ознакомиться")</f>
        <v>Ознакомиться</v>
      </c>
      <c r="W428" s="8" t="s">
        <v>69</v>
      </c>
      <c r="X428" s="6"/>
      <c r="Y428" s="6"/>
      <c r="Z428" s="6"/>
      <c r="AA428" s="6" t="s">
        <v>89</v>
      </c>
    </row>
    <row r="429" spans="1:27" s="4" customFormat="1" ht="51.95" customHeight="1">
      <c r="A429" s="5">
        <v>0</v>
      </c>
      <c r="B429" s="6" t="s">
        <v>2628</v>
      </c>
      <c r="C429" s="13">
        <v>570</v>
      </c>
      <c r="D429" s="8" t="s">
        <v>2629</v>
      </c>
      <c r="E429" s="8" t="s">
        <v>2630</v>
      </c>
      <c r="F429" s="8" t="s">
        <v>2631</v>
      </c>
      <c r="G429" s="6" t="s">
        <v>53</v>
      </c>
      <c r="H429" s="6" t="s">
        <v>38</v>
      </c>
      <c r="I429" s="8" t="s">
        <v>39</v>
      </c>
      <c r="J429" s="9">
        <v>1</v>
      </c>
      <c r="K429" s="9">
        <v>138</v>
      </c>
      <c r="L429" s="9">
        <v>2021</v>
      </c>
      <c r="M429" s="8" t="s">
        <v>2632</v>
      </c>
      <c r="N429" s="8" t="s">
        <v>41</v>
      </c>
      <c r="O429" s="8" t="s">
        <v>56</v>
      </c>
      <c r="P429" s="6" t="s">
        <v>43</v>
      </c>
      <c r="Q429" s="8" t="s">
        <v>44</v>
      </c>
      <c r="R429" s="10" t="s">
        <v>2633</v>
      </c>
      <c r="S429" s="11"/>
      <c r="T429" s="6"/>
      <c r="U429" s="28" t="str">
        <f>HYPERLINK("https://media.infra-m.ru/1290/1290966/cover/1290966.jpg", "Обложка")</f>
        <v>Обложка</v>
      </c>
      <c r="V429" s="28" t="str">
        <f>HYPERLINK("https://znanium.ru/catalog/product/1290966", "Ознакомиться")</f>
        <v>Ознакомиться</v>
      </c>
      <c r="W429" s="8" t="s">
        <v>119</v>
      </c>
      <c r="X429" s="6"/>
      <c r="Y429" s="6"/>
      <c r="Z429" s="6"/>
      <c r="AA429" s="6" t="s">
        <v>173</v>
      </c>
    </row>
    <row r="430" spans="1:27" s="4" customFormat="1" ht="51.95" customHeight="1">
      <c r="A430" s="5">
        <v>0</v>
      </c>
      <c r="B430" s="6" t="s">
        <v>2634</v>
      </c>
      <c r="C430" s="13">
        <v>580</v>
      </c>
      <c r="D430" s="8" t="s">
        <v>2635</v>
      </c>
      <c r="E430" s="8" t="s">
        <v>2636</v>
      </c>
      <c r="F430" s="8" t="s">
        <v>2637</v>
      </c>
      <c r="G430" s="6" t="s">
        <v>53</v>
      </c>
      <c r="H430" s="6" t="s">
        <v>64</v>
      </c>
      <c r="I430" s="8"/>
      <c r="J430" s="9">
        <v>1</v>
      </c>
      <c r="K430" s="9">
        <v>128</v>
      </c>
      <c r="L430" s="9">
        <v>2020</v>
      </c>
      <c r="M430" s="8" t="s">
        <v>2638</v>
      </c>
      <c r="N430" s="8" t="s">
        <v>41</v>
      </c>
      <c r="O430" s="8" t="s">
        <v>56</v>
      </c>
      <c r="P430" s="6" t="s">
        <v>78</v>
      </c>
      <c r="Q430" s="8" t="s">
        <v>67</v>
      </c>
      <c r="R430" s="10" t="s">
        <v>2639</v>
      </c>
      <c r="S430" s="11"/>
      <c r="T430" s="6"/>
      <c r="U430" s="28" t="str">
        <f>HYPERLINK("https://media.infra-m.ru/1949/1949124/cover/1949124.jpg", "Обложка")</f>
        <v>Обложка</v>
      </c>
      <c r="V430" s="28" t="str">
        <f>HYPERLINK("https://znanium.ru/catalog/product/960152", "Ознакомиться")</f>
        <v>Ознакомиться</v>
      </c>
      <c r="W430" s="8" t="s">
        <v>69</v>
      </c>
      <c r="X430" s="6"/>
      <c r="Y430" s="6"/>
      <c r="Z430" s="6"/>
      <c r="AA430" s="6" t="s">
        <v>82</v>
      </c>
    </row>
    <row r="431" spans="1:27" s="4" customFormat="1" ht="44.1" customHeight="1">
      <c r="A431" s="5">
        <v>0</v>
      </c>
      <c r="B431" s="6" t="s">
        <v>2640</v>
      </c>
      <c r="C431" s="7">
        <v>1370</v>
      </c>
      <c r="D431" s="8" t="s">
        <v>2641</v>
      </c>
      <c r="E431" s="8" t="s">
        <v>2642</v>
      </c>
      <c r="F431" s="8" t="s">
        <v>2643</v>
      </c>
      <c r="G431" s="6" t="s">
        <v>75</v>
      </c>
      <c r="H431" s="6" t="s">
        <v>38</v>
      </c>
      <c r="I431" s="8" t="s">
        <v>1614</v>
      </c>
      <c r="J431" s="9">
        <v>1</v>
      </c>
      <c r="K431" s="9">
        <v>304</v>
      </c>
      <c r="L431" s="9">
        <v>2023</v>
      </c>
      <c r="M431" s="8" t="s">
        <v>2644</v>
      </c>
      <c r="N431" s="8" t="s">
        <v>41</v>
      </c>
      <c r="O431" s="8" t="s">
        <v>56</v>
      </c>
      <c r="P431" s="6" t="s">
        <v>43</v>
      </c>
      <c r="Q431" s="8" t="s">
        <v>44</v>
      </c>
      <c r="R431" s="10" t="s">
        <v>2645</v>
      </c>
      <c r="S431" s="11"/>
      <c r="T431" s="6"/>
      <c r="U431" s="28" t="str">
        <f>HYPERLINK("https://media.infra-m.ru/1964/1964967/cover/1964967.jpg", "Обложка")</f>
        <v>Обложка</v>
      </c>
      <c r="V431" s="28" t="str">
        <f>HYPERLINK("https://znanium.ru/catalog/product/1964967", "Ознакомиться")</f>
        <v>Ознакомиться</v>
      </c>
      <c r="W431" s="8" t="s">
        <v>2646</v>
      </c>
      <c r="X431" s="6"/>
      <c r="Y431" s="6"/>
      <c r="Z431" s="6"/>
      <c r="AA431" s="6" t="s">
        <v>173</v>
      </c>
    </row>
    <row r="432" spans="1:27" s="4" customFormat="1" ht="51.95" customHeight="1">
      <c r="A432" s="5">
        <v>0</v>
      </c>
      <c r="B432" s="6" t="s">
        <v>2647</v>
      </c>
      <c r="C432" s="13">
        <v>434.9</v>
      </c>
      <c r="D432" s="8" t="s">
        <v>2648</v>
      </c>
      <c r="E432" s="8" t="s">
        <v>2649</v>
      </c>
      <c r="F432" s="8" t="s">
        <v>86</v>
      </c>
      <c r="G432" s="6" t="s">
        <v>53</v>
      </c>
      <c r="H432" s="6" t="s">
        <v>64</v>
      </c>
      <c r="I432" s="8"/>
      <c r="J432" s="9">
        <v>1</v>
      </c>
      <c r="K432" s="9">
        <v>128</v>
      </c>
      <c r="L432" s="9">
        <v>2020</v>
      </c>
      <c r="M432" s="8" t="s">
        <v>2650</v>
      </c>
      <c r="N432" s="8" t="s">
        <v>41</v>
      </c>
      <c r="O432" s="8" t="s">
        <v>56</v>
      </c>
      <c r="P432" s="6" t="s">
        <v>66</v>
      </c>
      <c r="Q432" s="8" t="s">
        <v>67</v>
      </c>
      <c r="R432" s="10" t="s">
        <v>2621</v>
      </c>
      <c r="S432" s="11"/>
      <c r="T432" s="6"/>
      <c r="U432" s="28" t="str">
        <f>HYPERLINK("https://media.infra-m.ru/1044/1044597/cover/1044597.jpg", "Обложка")</f>
        <v>Обложка</v>
      </c>
      <c r="V432" s="28" t="str">
        <f>HYPERLINK("https://znanium.ru/catalog/product/2082404", "Ознакомиться")</f>
        <v>Ознакомиться</v>
      </c>
      <c r="W432" s="8" t="s">
        <v>69</v>
      </c>
      <c r="X432" s="6"/>
      <c r="Y432" s="6"/>
      <c r="Z432" s="6"/>
      <c r="AA432" s="6" t="s">
        <v>82</v>
      </c>
    </row>
    <row r="433" spans="1:27" s="4" customFormat="1" ht="51.95" customHeight="1">
      <c r="A433" s="5">
        <v>0</v>
      </c>
      <c r="B433" s="6" t="s">
        <v>2651</v>
      </c>
      <c r="C433" s="7">
        <v>1024.9000000000001</v>
      </c>
      <c r="D433" s="8" t="s">
        <v>2652</v>
      </c>
      <c r="E433" s="8" t="s">
        <v>2653</v>
      </c>
      <c r="F433" s="8" t="s">
        <v>2654</v>
      </c>
      <c r="G433" s="6" t="s">
        <v>37</v>
      </c>
      <c r="H433" s="6" t="s">
        <v>2655</v>
      </c>
      <c r="I433" s="8"/>
      <c r="J433" s="9">
        <v>1</v>
      </c>
      <c r="K433" s="9">
        <v>320</v>
      </c>
      <c r="L433" s="9">
        <v>2019</v>
      </c>
      <c r="M433" s="8"/>
      <c r="N433" s="8" t="s">
        <v>41</v>
      </c>
      <c r="O433" s="8" t="s">
        <v>56</v>
      </c>
      <c r="P433" s="6" t="s">
        <v>78</v>
      </c>
      <c r="Q433" s="8" t="s">
        <v>67</v>
      </c>
      <c r="R433" s="10" t="s">
        <v>2656</v>
      </c>
      <c r="S433" s="11"/>
      <c r="T433" s="6"/>
      <c r="U433" s="28" t="str">
        <f>HYPERLINK("https://media.infra-m.ru/1011/1011095/cover/1011095.jpg", "Обложка")</f>
        <v>Обложка</v>
      </c>
      <c r="V433" s="28" t="str">
        <f>HYPERLINK("https://znanium.ru/catalog/product/2049691", "Ознакомиться")</f>
        <v>Ознакомиться</v>
      </c>
      <c r="W433" s="8" t="s">
        <v>69</v>
      </c>
      <c r="X433" s="6"/>
      <c r="Y433" s="6"/>
      <c r="Z433" s="6"/>
      <c r="AA433" s="6" t="s">
        <v>89</v>
      </c>
    </row>
    <row r="434" spans="1:27" s="4" customFormat="1" ht="51.95" customHeight="1">
      <c r="A434" s="5">
        <v>0</v>
      </c>
      <c r="B434" s="6" t="s">
        <v>2657</v>
      </c>
      <c r="C434" s="7">
        <v>1580</v>
      </c>
      <c r="D434" s="8" t="s">
        <v>2658</v>
      </c>
      <c r="E434" s="8" t="s">
        <v>2659</v>
      </c>
      <c r="F434" s="8" t="s">
        <v>2654</v>
      </c>
      <c r="G434" s="6" t="s">
        <v>75</v>
      </c>
      <c r="H434" s="6" t="s">
        <v>64</v>
      </c>
      <c r="I434" s="8"/>
      <c r="J434" s="9">
        <v>1</v>
      </c>
      <c r="K434" s="9">
        <v>336</v>
      </c>
      <c r="L434" s="9">
        <v>2024</v>
      </c>
      <c r="M434" s="8" t="s">
        <v>2660</v>
      </c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2656</v>
      </c>
      <c r="S434" s="11"/>
      <c r="T434" s="6"/>
      <c r="U434" s="28" t="str">
        <f>HYPERLINK("https://media.infra-m.ru/2049/2049691/cover/2049691.jpg", "Обложка")</f>
        <v>Обложка</v>
      </c>
      <c r="V434" s="28" t="str">
        <f>HYPERLINK("https://znanium.ru/catalog/product/2049691", "Ознакомиться")</f>
        <v>Ознакомиться</v>
      </c>
      <c r="W434" s="8" t="s">
        <v>69</v>
      </c>
      <c r="X434" s="6" t="s">
        <v>2172</v>
      </c>
      <c r="Y434" s="6"/>
      <c r="Z434" s="6"/>
      <c r="AA434" s="6" t="s">
        <v>1959</v>
      </c>
    </row>
    <row r="435" spans="1:27" s="4" customFormat="1" ht="42" customHeight="1">
      <c r="A435" s="5">
        <v>0</v>
      </c>
      <c r="B435" s="6" t="s">
        <v>2661</v>
      </c>
      <c r="C435" s="13">
        <v>974</v>
      </c>
      <c r="D435" s="8" t="s">
        <v>2662</v>
      </c>
      <c r="E435" s="8" t="s">
        <v>2663</v>
      </c>
      <c r="F435" s="8" t="s">
        <v>2664</v>
      </c>
      <c r="G435" s="6" t="s">
        <v>75</v>
      </c>
      <c r="H435" s="6" t="s">
        <v>64</v>
      </c>
      <c r="I435" s="8"/>
      <c r="J435" s="9">
        <v>1</v>
      </c>
      <c r="K435" s="9">
        <v>208</v>
      </c>
      <c r="L435" s="9">
        <v>2024</v>
      </c>
      <c r="M435" s="8" t="s">
        <v>2665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2666</v>
      </c>
      <c r="S435" s="11"/>
      <c r="T435" s="6"/>
      <c r="U435" s="28" t="str">
        <f>HYPERLINK("https://media.infra-m.ru/2141/2141775/cover/2141775.jpg", "Обложка")</f>
        <v>Обложка</v>
      </c>
      <c r="V435" s="28" t="str">
        <f>HYPERLINK("https://znanium.ru/catalog/product/1856390", "Ознакомиться")</f>
        <v>Ознакомиться</v>
      </c>
      <c r="W435" s="8" t="s">
        <v>69</v>
      </c>
      <c r="X435" s="6"/>
      <c r="Y435" s="6"/>
      <c r="Z435" s="6"/>
      <c r="AA435" s="6" t="s">
        <v>304</v>
      </c>
    </row>
    <row r="436" spans="1:27" s="4" customFormat="1" ht="42" customHeight="1">
      <c r="A436" s="5">
        <v>0</v>
      </c>
      <c r="B436" s="6" t="s">
        <v>2667</v>
      </c>
      <c r="C436" s="13">
        <v>790</v>
      </c>
      <c r="D436" s="8" t="s">
        <v>2668</v>
      </c>
      <c r="E436" s="8" t="s">
        <v>2669</v>
      </c>
      <c r="F436" s="8" t="s">
        <v>2664</v>
      </c>
      <c r="G436" s="6" t="s">
        <v>37</v>
      </c>
      <c r="H436" s="6" t="s">
        <v>64</v>
      </c>
      <c r="I436" s="8"/>
      <c r="J436" s="9">
        <v>1</v>
      </c>
      <c r="K436" s="9">
        <v>208</v>
      </c>
      <c r="L436" s="9">
        <v>2020</v>
      </c>
      <c r="M436" s="8" t="s">
        <v>2670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2666</v>
      </c>
      <c r="S436" s="11"/>
      <c r="T436" s="6"/>
      <c r="U436" s="28" t="str">
        <f>HYPERLINK("https://media.infra-m.ru/1087/1087549/cover/1087549.jpg", "Обложка")</f>
        <v>Обложка</v>
      </c>
      <c r="V436" s="28" t="str">
        <f>HYPERLINK("https://znanium.ru/catalog/product/1856390", "Ознакомиться")</f>
        <v>Ознакомиться</v>
      </c>
      <c r="W436" s="8" t="s">
        <v>69</v>
      </c>
      <c r="X436" s="6"/>
      <c r="Y436" s="6"/>
      <c r="Z436" s="6"/>
      <c r="AA436" s="6" t="s">
        <v>173</v>
      </c>
    </row>
    <row r="437" spans="1:27" s="4" customFormat="1" ht="51.95" customHeight="1">
      <c r="A437" s="5">
        <v>0</v>
      </c>
      <c r="B437" s="6" t="s">
        <v>2671</v>
      </c>
      <c r="C437" s="7">
        <v>1199.9000000000001</v>
      </c>
      <c r="D437" s="8" t="s">
        <v>2672</v>
      </c>
      <c r="E437" s="8" t="s">
        <v>2673</v>
      </c>
      <c r="F437" s="8" t="s">
        <v>459</v>
      </c>
      <c r="G437" s="6" t="s">
        <v>37</v>
      </c>
      <c r="H437" s="6" t="s">
        <v>64</v>
      </c>
      <c r="I437" s="8"/>
      <c r="J437" s="9">
        <v>1</v>
      </c>
      <c r="K437" s="9">
        <v>248</v>
      </c>
      <c r="L437" s="9">
        <v>2023</v>
      </c>
      <c r="M437" s="8" t="s">
        <v>2674</v>
      </c>
      <c r="N437" s="8" t="s">
        <v>41</v>
      </c>
      <c r="O437" s="8" t="s">
        <v>56</v>
      </c>
      <c r="P437" s="6" t="s">
        <v>78</v>
      </c>
      <c r="Q437" s="8" t="s">
        <v>67</v>
      </c>
      <c r="R437" s="10" t="s">
        <v>2675</v>
      </c>
      <c r="S437" s="11"/>
      <c r="T437" s="6"/>
      <c r="U437" s="28" t="str">
        <f>HYPERLINK("https://media.infra-m.ru/1905/1905572/cover/1905572.jpg", "Обложка")</f>
        <v>Обложка</v>
      </c>
      <c r="V437" s="28" t="str">
        <f>HYPERLINK("https://znanium.ru/catalog/product/1905572", "Ознакомиться")</f>
        <v>Ознакомиться</v>
      </c>
      <c r="W437" s="8" t="s">
        <v>69</v>
      </c>
      <c r="X437" s="6"/>
      <c r="Y437" s="6"/>
      <c r="Z437" s="6"/>
      <c r="AA437" s="6" t="s">
        <v>120</v>
      </c>
    </row>
    <row r="438" spans="1:27" s="4" customFormat="1" ht="51.95" customHeight="1">
      <c r="A438" s="5">
        <v>0</v>
      </c>
      <c r="B438" s="6" t="s">
        <v>2676</v>
      </c>
      <c r="C438" s="13">
        <v>664.9</v>
      </c>
      <c r="D438" s="8" t="s">
        <v>2677</v>
      </c>
      <c r="E438" s="8" t="s">
        <v>2678</v>
      </c>
      <c r="F438" s="8" t="s">
        <v>571</v>
      </c>
      <c r="G438" s="6" t="s">
        <v>53</v>
      </c>
      <c r="H438" s="6" t="s">
        <v>38</v>
      </c>
      <c r="I438" s="8" t="s">
        <v>39</v>
      </c>
      <c r="J438" s="9">
        <v>1</v>
      </c>
      <c r="K438" s="9">
        <v>147</v>
      </c>
      <c r="L438" s="9">
        <v>2023</v>
      </c>
      <c r="M438" s="8" t="s">
        <v>2679</v>
      </c>
      <c r="N438" s="8" t="s">
        <v>41</v>
      </c>
      <c r="O438" s="8" t="s">
        <v>42</v>
      </c>
      <c r="P438" s="6" t="s">
        <v>43</v>
      </c>
      <c r="Q438" s="8" t="s">
        <v>44</v>
      </c>
      <c r="R438" s="10" t="s">
        <v>2680</v>
      </c>
      <c r="S438" s="11"/>
      <c r="T438" s="6"/>
      <c r="U438" s="28" t="str">
        <f>HYPERLINK("https://media.infra-m.ru/2045/2045947/cover/2045947.jpg", "Обложка")</f>
        <v>Обложка</v>
      </c>
      <c r="V438" s="28" t="str">
        <f>HYPERLINK("https://znanium.ru/catalog/product/1041934", "Ознакомиться")</f>
        <v>Ознакомиться</v>
      </c>
      <c r="W438" s="8" t="s">
        <v>574</v>
      </c>
      <c r="X438" s="6"/>
      <c r="Y438" s="6"/>
      <c r="Z438" s="6"/>
      <c r="AA438" s="6" t="s">
        <v>405</v>
      </c>
    </row>
    <row r="439" spans="1:27" s="4" customFormat="1" ht="42" customHeight="1">
      <c r="A439" s="5">
        <v>0</v>
      </c>
      <c r="B439" s="6" t="s">
        <v>2681</v>
      </c>
      <c r="C439" s="13">
        <v>860</v>
      </c>
      <c r="D439" s="8" t="s">
        <v>2682</v>
      </c>
      <c r="E439" s="8" t="s">
        <v>2683</v>
      </c>
      <c r="F439" s="8" t="s">
        <v>2684</v>
      </c>
      <c r="G439" s="6" t="s">
        <v>37</v>
      </c>
      <c r="H439" s="6" t="s">
        <v>38</v>
      </c>
      <c r="I439" s="8" t="s">
        <v>39</v>
      </c>
      <c r="J439" s="14">
        <v>0</v>
      </c>
      <c r="K439" s="9">
        <v>252</v>
      </c>
      <c r="L439" s="9">
        <v>2019</v>
      </c>
      <c r="M439" s="8" t="s">
        <v>2685</v>
      </c>
      <c r="N439" s="8" t="s">
        <v>41</v>
      </c>
      <c r="O439" s="8" t="s">
        <v>56</v>
      </c>
      <c r="P439" s="6" t="s">
        <v>43</v>
      </c>
      <c r="Q439" s="8" t="s">
        <v>44</v>
      </c>
      <c r="R439" s="10" t="s">
        <v>558</v>
      </c>
      <c r="S439" s="11"/>
      <c r="T439" s="6"/>
      <c r="U439" s="28" t="str">
        <f>HYPERLINK("https://media.infra-m.ru/0993/0993455/cover/993455.jpg", "Обложка")</f>
        <v>Обложка</v>
      </c>
      <c r="V439" s="28" t="str">
        <f>HYPERLINK("https://znanium.ru/catalog/product/993455", "Ознакомиться")</f>
        <v>Ознакомиться</v>
      </c>
      <c r="W439" s="8" t="s">
        <v>328</v>
      </c>
      <c r="X439" s="6"/>
      <c r="Y439" s="6"/>
      <c r="Z439" s="6"/>
      <c r="AA439" s="6" t="s">
        <v>173</v>
      </c>
    </row>
    <row r="440" spans="1:27" s="4" customFormat="1" ht="42" customHeight="1">
      <c r="A440" s="5">
        <v>0</v>
      </c>
      <c r="B440" s="6" t="s">
        <v>2686</v>
      </c>
      <c r="C440" s="7">
        <v>1084</v>
      </c>
      <c r="D440" s="8" t="s">
        <v>2687</v>
      </c>
      <c r="E440" s="8" t="s">
        <v>2688</v>
      </c>
      <c r="F440" s="8" t="s">
        <v>2689</v>
      </c>
      <c r="G440" s="6" t="s">
        <v>75</v>
      </c>
      <c r="H440" s="6" t="s">
        <v>64</v>
      </c>
      <c r="I440" s="8"/>
      <c r="J440" s="9">
        <v>1</v>
      </c>
      <c r="K440" s="9">
        <v>240</v>
      </c>
      <c r="L440" s="9">
        <v>2022</v>
      </c>
      <c r="M440" s="8" t="s">
        <v>2690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2691</v>
      </c>
      <c r="S440" s="11"/>
      <c r="T440" s="6"/>
      <c r="U440" s="28" t="str">
        <f>HYPERLINK("https://media.infra-m.ru/2089/2089267/cover/2089267.jpg", "Обложка")</f>
        <v>Обложка</v>
      </c>
      <c r="V440" s="28" t="str">
        <f>HYPERLINK("https://znanium.ru/catalog/product/1856796", "Ознакомиться")</f>
        <v>Ознакомиться</v>
      </c>
      <c r="W440" s="8" t="s">
        <v>1199</v>
      </c>
      <c r="X440" s="6"/>
      <c r="Y440" s="6"/>
      <c r="Z440" s="6"/>
      <c r="AA440" s="6" t="s">
        <v>173</v>
      </c>
    </row>
    <row r="441" spans="1:27" s="4" customFormat="1" ht="51.95" customHeight="1">
      <c r="A441" s="5">
        <v>0</v>
      </c>
      <c r="B441" s="6" t="s">
        <v>2692</v>
      </c>
      <c r="C441" s="13">
        <v>940</v>
      </c>
      <c r="D441" s="8" t="s">
        <v>2693</v>
      </c>
      <c r="E441" s="8" t="s">
        <v>2694</v>
      </c>
      <c r="F441" s="8" t="s">
        <v>2695</v>
      </c>
      <c r="G441" s="6" t="s">
        <v>37</v>
      </c>
      <c r="H441" s="6" t="s">
        <v>38</v>
      </c>
      <c r="I441" s="8" t="s">
        <v>39</v>
      </c>
      <c r="J441" s="9">
        <v>1</v>
      </c>
      <c r="K441" s="9">
        <v>239</v>
      </c>
      <c r="L441" s="9">
        <v>2022</v>
      </c>
      <c r="M441" s="8" t="s">
        <v>2696</v>
      </c>
      <c r="N441" s="8" t="s">
        <v>41</v>
      </c>
      <c r="O441" s="8" t="s">
        <v>56</v>
      </c>
      <c r="P441" s="6" t="s">
        <v>43</v>
      </c>
      <c r="Q441" s="8" t="s">
        <v>44</v>
      </c>
      <c r="R441" s="10" t="s">
        <v>2697</v>
      </c>
      <c r="S441" s="11"/>
      <c r="T441" s="6"/>
      <c r="U441" s="28" t="str">
        <f>HYPERLINK("https://media.infra-m.ru/1692/1692575/cover/1692575.jpg", "Обложка")</f>
        <v>Обложка</v>
      </c>
      <c r="V441" s="28" t="str">
        <f>HYPERLINK("https://znanium.ru/catalog/product/1692575", "Ознакомиться")</f>
        <v>Ознакомиться</v>
      </c>
      <c r="W441" s="8"/>
      <c r="X441" s="6"/>
      <c r="Y441" s="6"/>
      <c r="Z441" s="6"/>
      <c r="AA441" s="6" t="s">
        <v>688</v>
      </c>
    </row>
    <row r="442" spans="1:27" s="4" customFormat="1" ht="51.95" customHeight="1">
      <c r="A442" s="5">
        <v>0</v>
      </c>
      <c r="B442" s="6" t="s">
        <v>2698</v>
      </c>
      <c r="C442" s="7">
        <v>1527</v>
      </c>
      <c r="D442" s="8" t="s">
        <v>2699</v>
      </c>
      <c r="E442" s="8" t="s">
        <v>2700</v>
      </c>
      <c r="F442" s="8" t="s">
        <v>2701</v>
      </c>
      <c r="G442" s="6" t="s">
        <v>53</v>
      </c>
      <c r="H442" s="6" t="s">
        <v>54</v>
      </c>
      <c r="I442" s="8" t="s">
        <v>192</v>
      </c>
      <c r="J442" s="9">
        <v>1</v>
      </c>
      <c r="K442" s="9">
        <v>165</v>
      </c>
      <c r="L442" s="9">
        <v>2024</v>
      </c>
      <c r="M442" s="8" t="s">
        <v>2702</v>
      </c>
      <c r="N442" s="8" t="s">
        <v>41</v>
      </c>
      <c r="O442" s="8" t="s">
        <v>42</v>
      </c>
      <c r="P442" s="6" t="s">
        <v>66</v>
      </c>
      <c r="Q442" s="8" t="s">
        <v>141</v>
      </c>
      <c r="R442" s="10" t="s">
        <v>1229</v>
      </c>
      <c r="S442" s="11" t="s">
        <v>2703</v>
      </c>
      <c r="T442" s="6"/>
      <c r="U442" s="28" t="str">
        <f>HYPERLINK("https://media.infra-m.ru/2052/2052313/cover/2052313.jpg", "Обложка")</f>
        <v>Обложка</v>
      </c>
      <c r="V442" s="28" t="str">
        <f>HYPERLINK("https://znanium.ru/catalog/product/2052313", "Ознакомиться")</f>
        <v>Ознакомиться</v>
      </c>
      <c r="W442" s="8" t="s">
        <v>2704</v>
      </c>
      <c r="X442" s="6"/>
      <c r="Y442" s="6"/>
      <c r="Z442" s="6"/>
      <c r="AA442" s="6" t="s">
        <v>89</v>
      </c>
    </row>
    <row r="443" spans="1:27" s="4" customFormat="1" ht="51.95" customHeight="1">
      <c r="A443" s="5">
        <v>0</v>
      </c>
      <c r="B443" s="6" t="s">
        <v>2705</v>
      </c>
      <c r="C443" s="13">
        <v>364.9</v>
      </c>
      <c r="D443" s="8" t="s">
        <v>2706</v>
      </c>
      <c r="E443" s="8" t="s">
        <v>2707</v>
      </c>
      <c r="F443" s="8" t="s">
        <v>699</v>
      </c>
      <c r="G443" s="6" t="s">
        <v>53</v>
      </c>
      <c r="H443" s="6" t="s">
        <v>362</v>
      </c>
      <c r="I443" s="8" t="s">
        <v>192</v>
      </c>
      <c r="J443" s="9">
        <v>1</v>
      </c>
      <c r="K443" s="9">
        <v>120</v>
      </c>
      <c r="L443" s="9">
        <v>2019</v>
      </c>
      <c r="M443" s="8" t="s">
        <v>2708</v>
      </c>
      <c r="N443" s="8" t="s">
        <v>41</v>
      </c>
      <c r="O443" s="8" t="s">
        <v>42</v>
      </c>
      <c r="P443" s="6" t="s">
        <v>66</v>
      </c>
      <c r="Q443" s="8" t="s">
        <v>97</v>
      </c>
      <c r="R443" s="10" t="s">
        <v>731</v>
      </c>
      <c r="S443" s="11" t="s">
        <v>702</v>
      </c>
      <c r="T443" s="6"/>
      <c r="U443" s="28" t="str">
        <f>HYPERLINK("https://media.infra-m.ru/1013/1013453/cover/1013453.jpg", "Обложка")</f>
        <v>Обложка</v>
      </c>
      <c r="V443" s="28" t="str">
        <f>HYPERLINK("https://znanium.ru/catalog/product/1144439", "Ознакомиться")</f>
        <v>Ознакомиться</v>
      </c>
      <c r="W443" s="8" t="s">
        <v>119</v>
      </c>
      <c r="X443" s="6"/>
      <c r="Y443" s="6"/>
      <c r="Z443" s="6"/>
      <c r="AA443" s="6" t="s">
        <v>89</v>
      </c>
    </row>
    <row r="444" spans="1:27" s="4" customFormat="1" ht="51.95" customHeight="1">
      <c r="A444" s="5">
        <v>0</v>
      </c>
      <c r="B444" s="6" t="s">
        <v>2709</v>
      </c>
      <c r="C444" s="13">
        <v>320</v>
      </c>
      <c r="D444" s="8" t="s">
        <v>2710</v>
      </c>
      <c r="E444" s="8" t="s">
        <v>2711</v>
      </c>
      <c r="F444" s="8" t="s">
        <v>2712</v>
      </c>
      <c r="G444" s="6" t="s">
        <v>53</v>
      </c>
      <c r="H444" s="6" t="s">
        <v>38</v>
      </c>
      <c r="I444" s="8" t="s">
        <v>94</v>
      </c>
      <c r="J444" s="9">
        <v>1</v>
      </c>
      <c r="K444" s="9">
        <v>120</v>
      </c>
      <c r="L444" s="9">
        <v>2017</v>
      </c>
      <c r="M444" s="8" t="s">
        <v>2713</v>
      </c>
      <c r="N444" s="8" t="s">
        <v>41</v>
      </c>
      <c r="O444" s="8" t="s">
        <v>96</v>
      </c>
      <c r="P444" s="6" t="s">
        <v>1869</v>
      </c>
      <c r="Q444" s="8" t="s">
        <v>97</v>
      </c>
      <c r="R444" s="10" t="s">
        <v>2714</v>
      </c>
      <c r="S444" s="11" t="s">
        <v>2715</v>
      </c>
      <c r="T444" s="6"/>
      <c r="U444" s="28" t="str">
        <f>HYPERLINK("https://media.infra-m.ru/0767/0767822/cover/767822.jpg", "Обложка")</f>
        <v>Обложка</v>
      </c>
      <c r="V444" s="28" t="str">
        <f>HYPERLINK("https://znanium.ru/catalog/product/1744674", "Ознакомиться")</f>
        <v>Ознакомиться</v>
      </c>
      <c r="W444" s="8"/>
      <c r="X444" s="6"/>
      <c r="Y444" s="6"/>
      <c r="Z444" s="6"/>
      <c r="AA444" s="6" t="s">
        <v>1932</v>
      </c>
    </row>
    <row r="445" spans="1:27" s="4" customFormat="1" ht="51.95" customHeight="1">
      <c r="A445" s="5">
        <v>0</v>
      </c>
      <c r="B445" s="6" t="s">
        <v>2716</v>
      </c>
      <c r="C445" s="13">
        <v>604</v>
      </c>
      <c r="D445" s="8" t="s">
        <v>2717</v>
      </c>
      <c r="E445" s="8" t="s">
        <v>2718</v>
      </c>
      <c r="F445" s="8" t="s">
        <v>2719</v>
      </c>
      <c r="G445" s="6" t="s">
        <v>53</v>
      </c>
      <c r="H445" s="6" t="s">
        <v>38</v>
      </c>
      <c r="I445" s="8" t="s">
        <v>94</v>
      </c>
      <c r="J445" s="9">
        <v>1</v>
      </c>
      <c r="K445" s="9">
        <v>131</v>
      </c>
      <c r="L445" s="9">
        <v>2024</v>
      </c>
      <c r="M445" s="8" t="s">
        <v>2720</v>
      </c>
      <c r="N445" s="8" t="s">
        <v>41</v>
      </c>
      <c r="O445" s="8" t="s">
        <v>96</v>
      </c>
      <c r="P445" s="6" t="s">
        <v>66</v>
      </c>
      <c r="Q445" s="8" t="s">
        <v>97</v>
      </c>
      <c r="R445" s="10" t="s">
        <v>2714</v>
      </c>
      <c r="S445" s="11" t="s">
        <v>647</v>
      </c>
      <c r="T445" s="6"/>
      <c r="U445" s="28" t="str">
        <f>HYPERLINK("https://media.infra-m.ru/2053/2053973/cover/2053973.jpg", "Обложка")</f>
        <v>Обложка</v>
      </c>
      <c r="V445" s="28" t="str">
        <f>HYPERLINK("https://znanium.ru/catalog/product/1744674", "Ознакомиться")</f>
        <v>Ознакомиться</v>
      </c>
      <c r="W445" s="8"/>
      <c r="X445" s="6"/>
      <c r="Y445" s="6"/>
      <c r="Z445" s="6"/>
      <c r="AA445" s="6" t="s">
        <v>1037</v>
      </c>
    </row>
    <row r="446" spans="1:27" s="4" customFormat="1" ht="42" customHeight="1">
      <c r="A446" s="5">
        <v>0</v>
      </c>
      <c r="B446" s="6" t="s">
        <v>2721</v>
      </c>
      <c r="C446" s="13">
        <v>780</v>
      </c>
      <c r="D446" s="8" t="s">
        <v>2722</v>
      </c>
      <c r="E446" s="8" t="s">
        <v>2723</v>
      </c>
      <c r="F446" s="8" t="s">
        <v>2724</v>
      </c>
      <c r="G446" s="6" t="s">
        <v>37</v>
      </c>
      <c r="H446" s="6" t="s">
        <v>38</v>
      </c>
      <c r="I446" s="8" t="s">
        <v>199</v>
      </c>
      <c r="J446" s="9">
        <v>1</v>
      </c>
      <c r="K446" s="9">
        <v>155</v>
      </c>
      <c r="L446" s="9">
        <v>2024</v>
      </c>
      <c r="M446" s="8" t="s">
        <v>2725</v>
      </c>
      <c r="N446" s="8" t="s">
        <v>41</v>
      </c>
      <c r="O446" s="8" t="s">
        <v>42</v>
      </c>
      <c r="P446" s="6" t="s">
        <v>66</v>
      </c>
      <c r="Q446" s="8" t="s">
        <v>201</v>
      </c>
      <c r="R446" s="10" t="s">
        <v>202</v>
      </c>
      <c r="S446" s="11"/>
      <c r="T446" s="6"/>
      <c r="U446" s="28" t="str">
        <f>HYPERLINK("https://media.infra-m.ru/2030/2030898/cover/2030898.jpg", "Обложка")</f>
        <v>Обложка</v>
      </c>
      <c r="V446" s="28" t="str">
        <f>HYPERLINK("https://znanium.ru/catalog/product/2030898", "Ознакомиться")</f>
        <v>Ознакомиться</v>
      </c>
      <c r="W446" s="8" t="s">
        <v>46</v>
      </c>
      <c r="X446" s="6" t="s">
        <v>2503</v>
      </c>
      <c r="Y446" s="6"/>
      <c r="Z446" s="6"/>
      <c r="AA446" s="6" t="s">
        <v>48</v>
      </c>
    </row>
    <row r="447" spans="1:27" s="4" customFormat="1" ht="51.95" customHeight="1">
      <c r="A447" s="5">
        <v>0</v>
      </c>
      <c r="B447" s="6" t="s">
        <v>2726</v>
      </c>
      <c r="C447" s="7">
        <v>1960</v>
      </c>
      <c r="D447" s="8" t="s">
        <v>2727</v>
      </c>
      <c r="E447" s="8" t="s">
        <v>2728</v>
      </c>
      <c r="F447" s="8" t="s">
        <v>2729</v>
      </c>
      <c r="G447" s="6" t="s">
        <v>37</v>
      </c>
      <c r="H447" s="6" t="s">
        <v>38</v>
      </c>
      <c r="I447" s="8" t="s">
        <v>199</v>
      </c>
      <c r="J447" s="9">
        <v>1</v>
      </c>
      <c r="K447" s="9">
        <v>541</v>
      </c>
      <c r="L447" s="9">
        <v>2021</v>
      </c>
      <c r="M447" s="8" t="s">
        <v>2730</v>
      </c>
      <c r="N447" s="8" t="s">
        <v>41</v>
      </c>
      <c r="O447" s="8" t="s">
        <v>42</v>
      </c>
      <c r="P447" s="6" t="s">
        <v>66</v>
      </c>
      <c r="Q447" s="8" t="s">
        <v>201</v>
      </c>
      <c r="R447" s="10" t="s">
        <v>202</v>
      </c>
      <c r="S447" s="11" t="s">
        <v>2731</v>
      </c>
      <c r="T447" s="6"/>
      <c r="U447" s="28" t="str">
        <f>HYPERLINK("https://media.infra-m.ru/1048/1048802/cover/1048802.jpg", "Обложка")</f>
        <v>Обложка</v>
      </c>
      <c r="V447" s="28" t="str">
        <f>HYPERLINK("https://znanium.ru/catalog/product/1048802", "Ознакомиться")</f>
        <v>Ознакомиться</v>
      </c>
      <c r="W447" s="8" t="s">
        <v>567</v>
      </c>
      <c r="X447" s="6"/>
      <c r="Y447" s="6"/>
      <c r="Z447" s="6"/>
      <c r="AA447" s="6" t="s">
        <v>445</v>
      </c>
    </row>
    <row r="448" spans="1:27" s="4" customFormat="1" ht="51.95" customHeight="1">
      <c r="A448" s="5">
        <v>0</v>
      </c>
      <c r="B448" s="6" t="s">
        <v>2732</v>
      </c>
      <c r="C448" s="7">
        <v>1480</v>
      </c>
      <c r="D448" s="8" t="s">
        <v>2733</v>
      </c>
      <c r="E448" s="8" t="s">
        <v>2734</v>
      </c>
      <c r="F448" s="8" t="s">
        <v>2735</v>
      </c>
      <c r="G448" s="6" t="s">
        <v>75</v>
      </c>
      <c r="H448" s="6" t="s">
        <v>38</v>
      </c>
      <c r="I448" s="8" t="s">
        <v>199</v>
      </c>
      <c r="J448" s="9">
        <v>1</v>
      </c>
      <c r="K448" s="9">
        <v>352</v>
      </c>
      <c r="L448" s="9">
        <v>2022</v>
      </c>
      <c r="M448" s="8" t="s">
        <v>2736</v>
      </c>
      <c r="N448" s="8" t="s">
        <v>41</v>
      </c>
      <c r="O448" s="8" t="s">
        <v>42</v>
      </c>
      <c r="P448" s="6" t="s">
        <v>78</v>
      </c>
      <c r="Q448" s="8" t="s">
        <v>201</v>
      </c>
      <c r="R448" s="10" t="s">
        <v>202</v>
      </c>
      <c r="S448" s="11" t="s">
        <v>2737</v>
      </c>
      <c r="T448" s="6"/>
      <c r="U448" s="28" t="str">
        <f>HYPERLINK("https://media.infra-m.ru/1872/1872523/cover/1872523.jpg", "Обложка")</f>
        <v>Обложка</v>
      </c>
      <c r="V448" s="28" t="str">
        <f>HYPERLINK("https://znanium.ru/catalog/product/1872523", "Ознакомиться")</f>
        <v>Ознакомиться</v>
      </c>
      <c r="W448" s="8" t="s">
        <v>648</v>
      </c>
      <c r="X448" s="6"/>
      <c r="Y448" s="6"/>
      <c r="Z448" s="6"/>
      <c r="AA448" s="6" t="s">
        <v>405</v>
      </c>
    </row>
    <row r="449" spans="1:27" s="4" customFormat="1" ht="51.95" customHeight="1">
      <c r="A449" s="5">
        <v>0</v>
      </c>
      <c r="B449" s="6" t="s">
        <v>2738</v>
      </c>
      <c r="C449" s="7">
        <v>1210</v>
      </c>
      <c r="D449" s="8" t="s">
        <v>2739</v>
      </c>
      <c r="E449" s="8" t="s">
        <v>2740</v>
      </c>
      <c r="F449" s="8" t="s">
        <v>571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319</v>
      </c>
      <c r="L449" s="9">
        <v>2022</v>
      </c>
      <c r="M449" s="8" t="s">
        <v>2741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2742</v>
      </c>
      <c r="T449" s="6"/>
      <c r="U449" s="28" t="str">
        <f>HYPERLINK("https://media.infra-m.ru/1854/1854213/cover/1854213.jpg", "Обложка")</f>
        <v>Обложка</v>
      </c>
      <c r="V449" s="28" t="str">
        <f>HYPERLINK("https://znanium.ru/catalog/product/1854213", "Ознакомиться")</f>
        <v>Ознакомиться</v>
      </c>
      <c r="W449" s="8" t="s">
        <v>574</v>
      </c>
      <c r="X449" s="6"/>
      <c r="Y449" s="6"/>
      <c r="Z449" s="6"/>
      <c r="AA449" s="6" t="s">
        <v>173</v>
      </c>
    </row>
    <row r="450" spans="1:27" s="4" customFormat="1" ht="51.95" customHeight="1">
      <c r="A450" s="5">
        <v>0</v>
      </c>
      <c r="B450" s="6" t="s">
        <v>2743</v>
      </c>
      <c r="C450" s="7">
        <v>1130</v>
      </c>
      <c r="D450" s="8" t="s">
        <v>2744</v>
      </c>
      <c r="E450" s="8" t="s">
        <v>2745</v>
      </c>
      <c r="F450" s="8" t="s">
        <v>2746</v>
      </c>
      <c r="G450" s="6" t="s">
        <v>75</v>
      </c>
      <c r="H450" s="6" t="s">
        <v>38</v>
      </c>
      <c r="I450" s="8" t="s">
        <v>199</v>
      </c>
      <c r="J450" s="9">
        <v>1</v>
      </c>
      <c r="K450" s="9">
        <v>241</v>
      </c>
      <c r="L450" s="9">
        <v>2024</v>
      </c>
      <c r="M450" s="8" t="s">
        <v>2747</v>
      </c>
      <c r="N450" s="8" t="s">
        <v>41</v>
      </c>
      <c r="O450" s="8" t="s">
        <v>42</v>
      </c>
      <c r="P450" s="6" t="s">
        <v>78</v>
      </c>
      <c r="Q450" s="8" t="s">
        <v>201</v>
      </c>
      <c r="R450" s="10" t="s">
        <v>202</v>
      </c>
      <c r="S450" s="11" t="s">
        <v>2748</v>
      </c>
      <c r="T450" s="6"/>
      <c r="U450" s="28" t="str">
        <f>HYPERLINK("https://media.infra-m.ru/2123/2123905/cover/2123905.jpg", "Обложка")</f>
        <v>Обложка</v>
      </c>
      <c r="V450" s="28" t="str">
        <f>HYPERLINK("https://znanium.ru/catalog/product/2123905", "Ознакомиться")</f>
        <v>Ознакомиться</v>
      </c>
      <c r="W450" s="8" t="s">
        <v>574</v>
      </c>
      <c r="X450" s="6"/>
      <c r="Y450" s="6"/>
      <c r="Z450" s="6"/>
      <c r="AA450" s="6" t="s">
        <v>405</v>
      </c>
    </row>
    <row r="451" spans="1:27" s="4" customFormat="1" ht="44.1" customHeight="1">
      <c r="A451" s="5">
        <v>0</v>
      </c>
      <c r="B451" s="6" t="s">
        <v>2749</v>
      </c>
      <c r="C451" s="7">
        <v>1430</v>
      </c>
      <c r="D451" s="8" t="s">
        <v>2750</v>
      </c>
      <c r="E451" s="8" t="s">
        <v>2751</v>
      </c>
      <c r="F451" s="8" t="s">
        <v>2752</v>
      </c>
      <c r="G451" s="6" t="s">
        <v>37</v>
      </c>
      <c r="H451" s="6" t="s">
        <v>38</v>
      </c>
      <c r="I451" s="8" t="s">
        <v>192</v>
      </c>
      <c r="J451" s="9">
        <v>1</v>
      </c>
      <c r="K451" s="9">
        <v>309</v>
      </c>
      <c r="L451" s="9">
        <v>2023</v>
      </c>
      <c r="M451" s="8" t="s">
        <v>2753</v>
      </c>
      <c r="N451" s="8" t="s">
        <v>41</v>
      </c>
      <c r="O451" s="8" t="s">
        <v>42</v>
      </c>
      <c r="P451" s="6" t="s">
        <v>78</v>
      </c>
      <c r="Q451" s="8" t="s">
        <v>141</v>
      </c>
      <c r="R451" s="10" t="s">
        <v>2754</v>
      </c>
      <c r="S451" s="11"/>
      <c r="T451" s="6"/>
      <c r="U451" s="28" t="str">
        <f>HYPERLINK("https://media.infra-m.ru/1831/1831578/cover/1831578.jpg", "Обложка")</f>
        <v>Обложка</v>
      </c>
      <c r="V451" s="28" t="str">
        <f>HYPERLINK("https://znanium.ru/catalog/product/1831578", "Ознакомиться")</f>
        <v>Ознакомиться</v>
      </c>
      <c r="W451" s="8" t="s">
        <v>166</v>
      </c>
      <c r="X451" s="6" t="s">
        <v>2172</v>
      </c>
      <c r="Y451" s="6"/>
      <c r="Z451" s="6"/>
      <c r="AA451" s="6" t="s">
        <v>120</v>
      </c>
    </row>
    <row r="452" spans="1:27" s="4" customFormat="1" ht="51.95" customHeight="1">
      <c r="A452" s="5">
        <v>0</v>
      </c>
      <c r="B452" s="6" t="s">
        <v>2755</v>
      </c>
      <c r="C452" s="13">
        <v>990</v>
      </c>
      <c r="D452" s="8" t="s">
        <v>2756</v>
      </c>
      <c r="E452" s="8" t="s">
        <v>2757</v>
      </c>
      <c r="F452" s="8" t="s">
        <v>2758</v>
      </c>
      <c r="G452" s="6" t="s">
        <v>53</v>
      </c>
      <c r="H452" s="6" t="s">
        <v>38</v>
      </c>
      <c r="I452" s="8" t="s">
        <v>39</v>
      </c>
      <c r="J452" s="9">
        <v>1</v>
      </c>
      <c r="K452" s="9">
        <v>219</v>
      </c>
      <c r="L452" s="9">
        <v>2020</v>
      </c>
      <c r="M452" s="8" t="s">
        <v>2759</v>
      </c>
      <c r="N452" s="8" t="s">
        <v>41</v>
      </c>
      <c r="O452" s="8" t="s">
        <v>42</v>
      </c>
      <c r="P452" s="6" t="s">
        <v>43</v>
      </c>
      <c r="Q452" s="8" t="s">
        <v>44</v>
      </c>
      <c r="R452" s="10" t="s">
        <v>2760</v>
      </c>
      <c r="S452" s="11"/>
      <c r="T452" s="6"/>
      <c r="U452" s="28" t="str">
        <f>HYPERLINK("https://media.infra-m.ru/1078/1078334/cover/1078334.jpg", "Обложка")</f>
        <v>Обложка</v>
      </c>
      <c r="V452" s="28" t="str">
        <f>HYPERLINK("https://znanium.ru/catalog/product/1078334", "Ознакомиться")</f>
        <v>Ознакомиться</v>
      </c>
      <c r="W452" s="8" t="s">
        <v>119</v>
      </c>
      <c r="X452" s="6"/>
      <c r="Y452" s="6"/>
      <c r="Z452" s="6"/>
      <c r="AA452" s="6" t="s">
        <v>365</v>
      </c>
    </row>
    <row r="453" spans="1:27" s="4" customFormat="1" ht="42" customHeight="1">
      <c r="A453" s="5">
        <v>0</v>
      </c>
      <c r="B453" s="6" t="s">
        <v>2761</v>
      </c>
      <c r="C453" s="13">
        <v>620</v>
      </c>
      <c r="D453" s="8" t="s">
        <v>2762</v>
      </c>
      <c r="E453" s="8" t="s">
        <v>2763</v>
      </c>
      <c r="F453" s="8" t="s">
        <v>2764</v>
      </c>
      <c r="G453" s="6" t="s">
        <v>53</v>
      </c>
      <c r="H453" s="6" t="s">
        <v>352</v>
      </c>
      <c r="I453" s="8"/>
      <c r="J453" s="9">
        <v>1</v>
      </c>
      <c r="K453" s="9">
        <v>180</v>
      </c>
      <c r="L453" s="9">
        <v>2020</v>
      </c>
      <c r="M453" s="8" t="s">
        <v>2765</v>
      </c>
      <c r="N453" s="8" t="s">
        <v>41</v>
      </c>
      <c r="O453" s="8" t="s">
        <v>42</v>
      </c>
      <c r="P453" s="6" t="s">
        <v>78</v>
      </c>
      <c r="Q453" s="8" t="s">
        <v>67</v>
      </c>
      <c r="R453" s="10" t="s">
        <v>687</v>
      </c>
      <c r="S453" s="11"/>
      <c r="T453" s="6"/>
      <c r="U453" s="28" t="str">
        <f>HYPERLINK("https://media.infra-m.ru/1080/1080550/cover/1080550.jpg", "Обложка")</f>
        <v>Обложка</v>
      </c>
      <c r="V453" s="28" t="str">
        <f>HYPERLINK("https://znanium.ru/catalog/product/1080550", "Ознакомиться")</f>
        <v>Ознакомиться</v>
      </c>
      <c r="W453" s="8" t="s">
        <v>119</v>
      </c>
      <c r="X453" s="6"/>
      <c r="Y453" s="6"/>
      <c r="Z453" s="6"/>
      <c r="AA453" s="6" t="s">
        <v>82</v>
      </c>
    </row>
    <row r="454" spans="1:27" s="4" customFormat="1" ht="51.95" customHeight="1">
      <c r="A454" s="5">
        <v>0</v>
      </c>
      <c r="B454" s="6" t="s">
        <v>2766</v>
      </c>
      <c r="C454" s="13">
        <v>934.9</v>
      </c>
      <c r="D454" s="8" t="s">
        <v>2767</v>
      </c>
      <c r="E454" s="8" t="s">
        <v>2768</v>
      </c>
      <c r="F454" s="8" t="s">
        <v>2769</v>
      </c>
      <c r="G454" s="6" t="s">
        <v>37</v>
      </c>
      <c r="H454" s="6" t="s">
        <v>1114</v>
      </c>
      <c r="I454" s="8" t="s">
        <v>94</v>
      </c>
      <c r="J454" s="9">
        <v>1</v>
      </c>
      <c r="K454" s="9">
        <v>245</v>
      </c>
      <c r="L454" s="9">
        <v>2022</v>
      </c>
      <c r="M454" s="8" t="s">
        <v>2770</v>
      </c>
      <c r="N454" s="8" t="s">
        <v>41</v>
      </c>
      <c r="O454" s="8" t="s">
        <v>42</v>
      </c>
      <c r="P454" s="6" t="s">
        <v>66</v>
      </c>
      <c r="Q454" s="8" t="s">
        <v>97</v>
      </c>
      <c r="R454" s="10" t="s">
        <v>2771</v>
      </c>
      <c r="S454" s="11" t="s">
        <v>2772</v>
      </c>
      <c r="T454" s="6"/>
      <c r="U454" s="28" t="str">
        <f>HYPERLINK("https://media.infra-m.ru/1840/1840481/cover/1840481.jpg", "Обложка")</f>
        <v>Обложка</v>
      </c>
      <c r="V454" s="28" t="str">
        <f>HYPERLINK("https://znanium.ru/catalog/product/1002233", "Ознакомиться")</f>
        <v>Ознакомиться</v>
      </c>
      <c r="W454" s="8" t="s">
        <v>328</v>
      </c>
      <c r="X454" s="6"/>
      <c r="Y454" s="6"/>
      <c r="Z454" s="6"/>
      <c r="AA454" s="6" t="s">
        <v>473</v>
      </c>
    </row>
    <row r="455" spans="1:27" s="4" customFormat="1" ht="51.95" customHeight="1">
      <c r="A455" s="5">
        <v>0</v>
      </c>
      <c r="B455" s="6" t="s">
        <v>2773</v>
      </c>
      <c r="C455" s="13">
        <v>860</v>
      </c>
      <c r="D455" s="8" t="s">
        <v>2774</v>
      </c>
      <c r="E455" s="8" t="s">
        <v>2775</v>
      </c>
      <c r="F455" s="8" t="s">
        <v>2776</v>
      </c>
      <c r="G455" s="6" t="s">
        <v>53</v>
      </c>
      <c r="H455" s="6" t="s">
        <v>38</v>
      </c>
      <c r="I455" s="8" t="s">
        <v>39</v>
      </c>
      <c r="J455" s="9">
        <v>1</v>
      </c>
      <c r="K455" s="9">
        <v>225</v>
      </c>
      <c r="L455" s="9">
        <v>2021</v>
      </c>
      <c r="M455" s="8" t="s">
        <v>2777</v>
      </c>
      <c r="N455" s="8" t="s">
        <v>41</v>
      </c>
      <c r="O455" s="8" t="s">
        <v>56</v>
      </c>
      <c r="P455" s="6" t="s">
        <v>43</v>
      </c>
      <c r="Q455" s="8" t="s">
        <v>44</v>
      </c>
      <c r="R455" s="10" t="s">
        <v>2778</v>
      </c>
      <c r="S455" s="11"/>
      <c r="T455" s="6"/>
      <c r="U455" s="28" t="str">
        <f>HYPERLINK("https://media.infra-m.ru/1383/1383687/cover/1383687.jpg", "Обложка")</f>
        <v>Обложка</v>
      </c>
      <c r="V455" s="28" t="str">
        <f>HYPERLINK("https://znanium.ru/catalog/product/1383687", "Ознакомиться")</f>
        <v>Ознакомиться</v>
      </c>
      <c r="W455" s="8" t="s">
        <v>1786</v>
      </c>
      <c r="X455" s="6"/>
      <c r="Y455" s="6"/>
      <c r="Z455" s="6"/>
      <c r="AA455" s="6" t="s">
        <v>70</v>
      </c>
    </row>
    <row r="456" spans="1:27" s="4" customFormat="1" ht="42" customHeight="1">
      <c r="A456" s="5">
        <v>0</v>
      </c>
      <c r="B456" s="6" t="s">
        <v>2779</v>
      </c>
      <c r="C456" s="13">
        <v>900</v>
      </c>
      <c r="D456" s="8" t="s">
        <v>2780</v>
      </c>
      <c r="E456" s="8" t="s">
        <v>2781</v>
      </c>
      <c r="F456" s="8" t="s">
        <v>2782</v>
      </c>
      <c r="G456" s="6" t="s">
        <v>53</v>
      </c>
      <c r="H456" s="6" t="s">
        <v>38</v>
      </c>
      <c r="I456" s="8" t="s">
        <v>39</v>
      </c>
      <c r="J456" s="9">
        <v>1</v>
      </c>
      <c r="K456" s="9">
        <v>194</v>
      </c>
      <c r="L456" s="9">
        <v>2024</v>
      </c>
      <c r="M456" s="8" t="s">
        <v>2783</v>
      </c>
      <c r="N456" s="8" t="s">
        <v>41</v>
      </c>
      <c r="O456" s="8" t="s">
        <v>42</v>
      </c>
      <c r="P456" s="6" t="s">
        <v>43</v>
      </c>
      <c r="Q456" s="8" t="s">
        <v>44</v>
      </c>
      <c r="R456" s="10" t="s">
        <v>107</v>
      </c>
      <c r="S456" s="11"/>
      <c r="T456" s="6"/>
      <c r="U456" s="28" t="str">
        <f>HYPERLINK("https://media.infra-m.ru/2106/2106199/cover/2106199.jpg", "Обложка")</f>
        <v>Обложка</v>
      </c>
      <c r="V456" s="28" t="str">
        <f>HYPERLINK("https://znanium.ru/catalog/product/2106199", "Ознакомиться")</f>
        <v>Ознакомиться</v>
      </c>
      <c r="W456" s="8" t="s">
        <v>81</v>
      </c>
      <c r="X456" s="6"/>
      <c r="Y456" s="6"/>
      <c r="Z456" s="6"/>
      <c r="AA456" s="6" t="s">
        <v>59</v>
      </c>
    </row>
    <row r="457" spans="1:27" s="4" customFormat="1" ht="44.1" customHeight="1">
      <c r="A457" s="5">
        <v>0</v>
      </c>
      <c r="B457" s="6" t="s">
        <v>2784</v>
      </c>
      <c r="C457" s="13">
        <v>894.9</v>
      </c>
      <c r="D457" s="8" t="s">
        <v>2785</v>
      </c>
      <c r="E457" s="8" t="s">
        <v>2786</v>
      </c>
      <c r="F457" s="8" t="s">
        <v>2787</v>
      </c>
      <c r="G457" s="6" t="s">
        <v>53</v>
      </c>
      <c r="H457" s="6" t="s">
        <v>132</v>
      </c>
      <c r="I457" s="8" t="s">
        <v>1191</v>
      </c>
      <c r="J457" s="9">
        <v>1</v>
      </c>
      <c r="K457" s="9">
        <v>157</v>
      </c>
      <c r="L457" s="9">
        <v>2020</v>
      </c>
      <c r="M457" s="8" t="s">
        <v>2788</v>
      </c>
      <c r="N457" s="8" t="s">
        <v>41</v>
      </c>
      <c r="O457" s="8" t="s">
        <v>42</v>
      </c>
      <c r="P457" s="6" t="s">
        <v>43</v>
      </c>
      <c r="Q457" s="8" t="s">
        <v>471</v>
      </c>
      <c r="R457" s="10" t="s">
        <v>234</v>
      </c>
      <c r="S457" s="11"/>
      <c r="T457" s="6"/>
      <c r="U457" s="28" t="str">
        <f>HYPERLINK("https://media.infra-m.ru/1081/1081923/cover/1081923.jpg", "Обложка")</f>
        <v>Обложка</v>
      </c>
      <c r="V457" s="28" t="str">
        <f>HYPERLINK("https://znanium.ru/catalog/product/882538", "Ознакомиться")</f>
        <v>Ознакомиться</v>
      </c>
      <c r="W457" s="8" t="s">
        <v>119</v>
      </c>
      <c r="X457" s="6"/>
      <c r="Y457" s="6"/>
      <c r="Z457" s="6"/>
      <c r="AA457" s="6" t="s">
        <v>321</v>
      </c>
    </row>
    <row r="458" spans="1:27" s="4" customFormat="1" ht="42" customHeight="1">
      <c r="A458" s="5">
        <v>0</v>
      </c>
      <c r="B458" s="6" t="s">
        <v>2789</v>
      </c>
      <c r="C458" s="7">
        <v>1090</v>
      </c>
      <c r="D458" s="8" t="s">
        <v>2790</v>
      </c>
      <c r="E458" s="8" t="s">
        <v>2791</v>
      </c>
      <c r="F458" s="8" t="s">
        <v>2792</v>
      </c>
      <c r="G458" s="6" t="s">
        <v>53</v>
      </c>
      <c r="H458" s="6" t="s">
        <v>38</v>
      </c>
      <c r="I458" s="8" t="s">
        <v>1488</v>
      </c>
      <c r="J458" s="9">
        <v>1</v>
      </c>
      <c r="K458" s="9">
        <v>228</v>
      </c>
      <c r="L458" s="9">
        <v>2024</v>
      </c>
      <c r="M458" s="8" t="s">
        <v>2793</v>
      </c>
      <c r="N458" s="8" t="s">
        <v>41</v>
      </c>
      <c r="O458" s="8" t="s">
        <v>42</v>
      </c>
      <c r="P458" s="6" t="s">
        <v>43</v>
      </c>
      <c r="Q458" s="8" t="s">
        <v>44</v>
      </c>
      <c r="R458" s="10" t="s">
        <v>2794</v>
      </c>
      <c r="S458" s="11"/>
      <c r="T458" s="6"/>
      <c r="U458" s="28" t="str">
        <f>HYPERLINK("https://media.infra-m.ru/2030/2030736/cover/2030736.jpg", "Обложка")</f>
        <v>Обложка</v>
      </c>
      <c r="V458" s="28" t="str">
        <f>HYPERLINK("https://znanium.ru/catalog/product/2030736", "Ознакомиться")</f>
        <v>Ознакомиться</v>
      </c>
      <c r="W458" s="8" t="s">
        <v>119</v>
      </c>
      <c r="X458" s="6" t="s">
        <v>2795</v>
      </c>
      <c r="Y458" s="6"/>
      <c r="Z458" s="6"/>
      <c r="AA458" s="6" t="s">
        <v>48</v>
      </c>
    </row>
    <row r="459" spans="1:27" s="4" customFormat="1" ht="51.95" customHeight="1">
      <c r="A459" s="5">
        <v>0</v>
      </c>
      <c r="B459" s="6" t="s">
        <v>2796</v>
      </c>
      <c r="C459" s="13">
        <v>824</v>
      </c>
      <c r="D459" s="8" t="s">
        <v>2797</v>
      </c>
      <c r="E459" s="8" t="s">
        <v>2798</v>
      </c>
      <c r="F459" s="8" t="s">
        <v>2799</v>
      </c>
      <c r="G459" s="6" t="s">
        <v>53</v>
      </c>
      <c r="H459" s="6" t="s">
        <v>38</v>
      </c>
      <c r="I459" s="8" t="s">
        <v>39</v>
      </c>
      <c r="J459" s="9">
        <v>1</v>
      </c>
      <c r="K459" s="9">
        <v>175</v>
      </c>
      <c r="L459" s="9">
        <v>2024</v>
      </c>
      <c r="M459" s="8" t="s">
        <v>2800</v>
      </c>
      <c r="N459" s="8" t="s">
        <v>41</v>
      </c>
      <c r="O459" s="8" t="s">
        <v>42</v>
      </c>
      <c r="P459" s="6" t="s">
        <v>43</v>
      </c>
      <c r="Q459" s="8" t="s">
        <v>44</v>
      </c>
      <c r="R459" s="10" t="s">
        <v>1229</v>
      </c>
      <c r="S459" s="11"/>
      <c r="T459" s="6"/>
      <c r="U459" s="28" t="str">
        <f>HYPERLINK("https://media.infra-m.ru/2152/2152067/cover/2152067.jpg", "Обложка")</f>
        <v>Обложка</v>
      </c>
      <c r="V459" s="28" t="str">
        <f>HYPERLINK("https://znanium.ru/catalog/product/1851803", "Ознакомиться")</f>
        <v>Ознакомиться</v>
      </c>
      <c r="W459" s="8" t="s">
        <v>2225</v>
      </c>
      <c r="X459" s="6"/>
      <c r="Y459" s="6"/>
      <c r="Z459" s="6"/>
      <c r="AA459" s="6" t="s">
        <v>82</v>
      </c>
    </row>
    <row r="460" spans="1:27" s="4" customFormat="1" ht="51.95" customHeight="1">
      <c r="A460" s="5">
        <v>0</v>
      </c>
      <c r="B460" s="6" t="s">
        <v>2801</v>
      </c>
      <c r="C460" s="13">
        <v>254.9</v>
      </c>
      <c r="D460" s="8" t="s">
        <v>2802</v>
      </c>
      <c r="E460" s="8" t="s">
        <v>2803</v>
      </c>
      <c r="F460" s="8" t="s">
        <v>2804</v>
      </c>
      <c r="G460" s="6" t="s">
        <v>37</v>
      </c>
      <c r="H460" s="6" t="s">
        <v>54</v>
      </c>
      <c r="I460" s="8" t="s">
        <v>2805</v>
      </c>
      <c r="J460" s="9">
        <v>1</v>
      </c>
      <c r="K460" s="9">
        <v>85</v>
      </c>
      <c r="L460" s="9">
        <v>2017</v>
      </c>
      <c r="M460" s="8" t="s">
        <v>2806</v>
      </c>
      <c r="N460" s="8" t="s">
        <v>41</v>
      </c>
      <c r="O460" s="8" t="s">
        <v>42</v>
      </c>
      <c r="P460" s="6" t="s">
        <v>2805</v>
      </c>
      <c r="Q460" s="8" t="s">
        <v>44</v>
      </c>
      <c r="R460" s="10" t="s">
        <v>2807</v>
      </c>
      <c r="S460" s="11"/>
      <c r="T460" s="6"/>
      <c r="U460" s="12"/>
      <c r="V460" s="28" t="str">
        <f>HYPERLINK("https://znanium.ru/catalog/product/615199", "Ознакомиться")</f>
        <v>Ознакомиться</v>
      </c>
      <c r="W460" s="8"/>
      <c r="X460" s="6"/>
      <c r="Y460" s="6"/>
      <c r="Z460" s="6"/>
      <c r="AA460" s="6" t="s">
        <v>473</v>
      </c>
    </row>
    <row r="461" spans="1:27" s="4" customFormat="1" ht="51.95" customHeight="1">
      <c r="A461" s="5">
        <v>0</v>
      </c>
      <c r="B461" s="6" t="s">
        <v>2808</v>
      </c>
      <c r="C461" s="13">
        <v>574</v>
      </c>
      <c r="D461" s="8" t="s">
        <v>2809</v>
      </c>
      <c r="E461" s="8" t="s">
        <v>2810</v>
      </c>
      <c r="F461" s="8" t="s">
        <v>2811</v>
      </c>
      <c r="G461" s="6" t="s">
        <v>53</v>
      </c>
      <c r="H461" s="6" t="s">
        <v>132</v>
      </c>
      <c r="I461" s="8" t="s">
        <v>1191</v>
      </c>
      <c r="J461" s="9">
        <v>1</v>
      </c>
      <c r="K461" s="9">
        <v>126</v>
      </c>
      <c r="L461" s="9">
        <v>2023</v>
      </c>
      <c r="M461" s="8" t="s">
        <v>2812</v>
      </c>
      <c r="N461" s="8" t="s">
        <v>41</v>
      </c>
      <c r="O461" s="8" t="s">
        <v>42</v>
      </c>
      <c r="P461" s="6" t="s">
        <v>43</v>
      </c>
      <c r="Q461" s="8" t="s">
        <v>44</v>
      </c>
      <c r="R461" s="10" t="s">
        <v>2813</v>
      </c>
      <c r="S461" s="11"/>
      <c r="T461" s="6"/>
      <c r="U461" s="28" t="str">
        <f>HYPERLINK("https://media.infra-m.ru/2080/2080770/cover/2080770.jpg", "Обложка")</f>
        <v>Обложка</v>
      </c>
      <c r="V461" s="28" t="str">
        <f>HYPERLINK("https://znanium.ru/catalog/product/1946470", "Ознакомиться")</f>
        <v>Ознакомиться</v>
      </c>
      <c r="W461" s="8" t="s">
        <v>119</v>
      </c>
      <c r="X461" s="6"/>
      <c r="Y461" s="6"/>
      <c r="Z461" s="6"/>
      <c r="AA461" s="6" t="s">
        <v>321</v>
      </c>
    </row>
    <row r="462" spans="1:27" s="4" customFormat="1" ht="44.1" customHeight="1">
      <c r="A462" s="5">
        <v>0</v>
      </c>
      <c r="B462" s="6" t="s">
        <v>2814</v>
      </c>
      <c r="C462" s="7">
        <v>1454.9</v>
      </c>
      <c r="D462" s="8" t="s">
        <v>2815</v>
      </c>
      <c r="E462" s="8" t="s">
        <v>2816</v>
      </c>
      <c r="F462" s="8" t="s">
        <v>2817</v>
      </c>
      <c r="G462" s="6" t="s">
        <v>37</v>
      </c>
      <c r="H462" s="6" t="s">
        <v>352</v>
      </c>
      <c r="I462" s="8"/>
      <c r="J462" s="9">
        <v>1</v>
      </c>
      <c r="K462" s="9">
        <v>384</v>
      </c>
      <c r="L462" s="9">
        <v>2022</v>
      </c>
      <c r="M462" s="8" t="s">
        <v>2818</v>
      </c>
      <c r="N462" s="8" t="s">
        <v>41</v>
      </c>
      <c r="O462" s="8" t="s">
        <v>42</v>
      </c>
      <c r="P462" s="6" t="s">
        <v>66</v>
      </c>
      <c r="Q462" s="8" t="s">
        <v>97</v>
      </c>
      <c r="R462" s="10" t="s">
        <v>126</v>
      </c>
      <c r="S462" s="11"/>
      <c r="T462" s="6"/>
      <c r="U462" s="28" t="str">
        <f>HYPERLINK("https://media.infra-m.ru/1843/1843642/cover/1843642.jpg", "Обложка")</f>
        <v>Обложка</v>
      </c>
      <c r="V462" s="12"/>
      <c r="W462" s="8" t="s">
        <v>1786</v>
      </c>
      <c r="X462" s="6"/>
      <c r="Y462" s="6"/>
      <c r="Z462" s="6"/>
      <c r="AA462" s="6" t="s">
        <v>258</v>
      </c>
    </row>
    <row r="463" spans="1:27" s="4" customFormat="1" ht="51.95" customHeight="1">
      <c r="A463" s="5">
        <v>0</v>
      </c>
      <c r="B463" s="6" t="s">
        <v>2819</v>
      </c>
      <c r="C463" s="7">
        <v>1764</v>
      </c>
      <c r="D463" s="8" t="s">
        <v>2820</v>
      </c>
      <c r="E463" s="8" t="s">
        <v>2821</v>
      </c>
      <c r="F463" s="8" t="s">
        <v>2822</v>
      </c>
      <c r="G463" s="6" t="s">
        <v>37</v>
      </c>
      <c r="H463" s="6" t="s">
        <v>38</v>
      </c>
      <c r="I463" s="8" t="s">
        <v>76</v>
      </c>
      <c r="J463" s="9">
        <v>1</v>
      </c>
      <c r="K463" s="9">
        <v>384</v>
      </c>
      <c r="L463" s="9">
        <v>2024</v>
      </c>
      <c r="M463" s="8" t="s">
        <v>2823</v>
      </c>
      <c r="N463" s="8" t="s">
        <v>41</v>
      </c>
      <c r="O463" s="8" t="s">
        <v>96</v>
      </c>
      <c r="P463" s="6" t="s">
        <v>66</v>
      </c>
      <c r="Q463" s="8" t="s">
        <v>97</v>
      </c>
      <c r="R463" s="10" t="s">
        <v>1229</v>
      </c>
      <c r="S463" s="11"/>
      <c r="T463" s="6"/>
      <c r="U463" s="28" t="str">
        <f>HYPERLINK("https://media.infra-m.ru/2126/2126339/cover/2126339.jpg", "Обложка")</f>
        <v>Обложка</v>
      </c>
      <c r="V463" s="28" t="str">
        <f>HYPERLINK("https://znanium.ru/catalog/product/1015077", "Ознакомиться")</f>
        <v>Ознакомиться</v>
      </c>
      <c r="W463" s="8" t="s">
        <v>2824</v>
      </c>
      <c r="X463" s="6"/>
      <c r="Y463" s="6"/>
      <c r="Z463" s="6"/>
      <c r="AA463" s="6" t="s">
        <v>321</v>
      </c>
    </row>
    <row r="464" spans="1:27" s="4" customFormat="1" ht="51.95" customHeight="1">
      <c r="A464" s="5">
        <v>0</v>
      </c>
      <c r="B464" s="6" t="s">
        <v>2825</v>
      </c>
      <c r="C464" s="7">
        <v>1020</v>
      </c>
      <c r="D464" s="8" t="s">
        <v>2826</v>
      </c>
      <c r="E464" s="8" t="s">
        <v>2827</v>
      </c>
      <c r="F464" s="8" t="s">
        <v>2828</v>
      </c>
      <c r="G464" s="6" t="s">
        <v>53</v>
      </c>
      <c r="H464" s="6" t="s">
        <v>38</v>
      </c>
      <c r="I464" s="8" t="s">
        <v>192</v>
      </c>
      <c r="J464" s="9">
        <v>1</v>
      </c>
      <c r="K464" s="9">
        <v>221</v>
      </c>
      <c r="L464" s="9">
        <v>2024</v>
      </c>
      <c r="M464" s="8" t="s">
        <v>2829</v>
      </c>
      <c r="N464" s="8" t="s">
        <v>41</v>
      </c>
      <c r="O464" s="8" t="s">
        <v>42</v>
      </c>
      <c r="P464" s="6" t="s">
        <v>78</v>
      </c>
      <c r="Q464" s="8" t="s">
        <v>141</v>
      </c>
      <c r="R464" s="10" t="s">
        <v>2830</v>
      </c>
      <c r="S464" s="11" t="s">
        <v>639</v>
      </c>
      <c r="T464" s="6"/>
      <c r="U464" s="28" t="str">
        <f>HYPERLINK("https://media.infra-m.ru/1991/1991026/cover/1991026.jpg", "Обложка")</f>
        <v>Обложка</v>
      </c>
      <c r="V464" s="28" t="str">
        <f>HYPERLINK("https://znanium.ru/catalog/product/1991026", "Ознакомиться")</f>
        <v>Ознакомиться</v>
      </c>
      <c r="W464" s="8" t="s">
        <v>46</v>
      </c>
      <c r="X464" s="6"/>
      <c r="Y464" s="6"/>
      <c r="Z464" s="6"/>
      <c r="AA464" s="6" t="s">
        <v>134</v>
      </c>
    </row>
    <row r="465" spans="1:27" s="4" customFormat="1" ht="42" customHeight="1">
      <c r="A465" s="5">
        <v>0</v>
      </c>
      <c r="B465" s="6" t="s">
        <v>2831</v>
      </c>
      <c r="C465" s="7">
        <v>1224.9000000000001</v>
      </c>
      <c r="D465" s="8" t="s">
        <v>2832</v>
      </c>
      <c r="E465" s="8" t="s">
        <v>2833</v>
      </c>
      <c r="F465" s="8" t="s">
        <v>979</v>
      </c>
      <c r="G465" s="6" t="s">
        <v>53</v>
      </c>
      <c r="H465" s="6" t="s">
        <v>352</v>
      </c>
      <c r="I465" s="8"/>
      <c r="J465" s="9">
        <v>1</v>
      </c>
      <c r="K465" s="9">
        <v>272</v>
      </c>
      <c r="L465" s="9">
        <v>2023</v>
      </c>
      <c r="M465" s="8" t="s">
        <v>2834</v>
      </c>
      <c r="N465" s="8" t="s">
        <v>41</v>
      </c>
      <c r="O465" s="8" t="s">
        <v>42</v>
      </c>
      <c r="P465" s="6" t="s">
        <v>43</v>
      </c>
      <c r="Q465" s="8" t="s">
        <v>44</v>
      </c>
      <c r="R465" s="10" t="s">
        <v>2835</v>
      </c>
      <c r="S465" s="11"/>
      <c r="T465" s="6"/>
      <c r="U465" s="28" t="str">
        <f>HYPERLINK("https://media.infra-m.ru/2034/2034602/cover/2034602.jpg", "Обложка")</f>
        <v>Обложка</v>
      </c>
      <c r="V465" s="28" t="str">
        <f>HYPERLINK("https://znanium.ru/catalog/product/1002238", "Ознакомиться")</f>
        <v>Ознакомиться</v>
      </c>
      <c r="W465" s="8" t="s">
        <v>582</v>
      </c>
      <c r="X465" s="6"/>
      <c r="Y465" s="6"/>
      <c r="Z465" s="6"/>
      <c r="AA465" s="6" t="s">
        <v>473</v>
      </c>
    </row>
    <row r="466" spans="1:27" s="4" customFormat="1" ht="44.1" customHeight="1">
      <c r="A466" s="5">
        <v>0</v>
      </c>
      <c r="B466" s="6" t="s">
        <v>2836</v>
      </c>
      <c r="C466" s="13">
        <v>574.9</v>
      </c>
      <c r="D466" s="8" t="s">
        <v>2837</v>
      </c>
      <c r="E466" s="8" t="s">
        <v>2838</v>
      </c>
      <c r="F466" s="8" t="s">
        <v>2839</v>
      </c>
      <c r="G466" s="6" t="s">
        <v>53</v>
      </c>
      <c r="H466" s="6" t="s">
        <v>352</v>
      </c>
      <c r="I466" s="8"/>
      <c r="J466" s="9">
        <v>1</v>
      </c>
      <c r="K466" s="9">
        <v>128</v>
      </c>
      <c r="L466" s="9">
        <v>2023</v>
      </c>
      <c r="M466" s="8" t="s">
        <v>2840</v>
      </c>
      <c r="N466" s="8" t="s">
        <v>41</v>
      </c>
      <c r="O466" s="8" t="s">
        <v>56</v>
      </c>
      <c r="P466" s="6" t="s">
        <v>1869</v>
      </c>
      <c r="Q466" s="8" t="s">
        <v>44</v>
      </c>
      <c r="R466" s="10" t="s">
        <v>2841</v>
      </c>
      <c r="S466" s="11"/>
      <c r="T466" s="6"/>
      <c r="U466" s="28" t="str">
        <f>HYPERLINK("https://media.infra-m.ru/1910/1910874/cover/1910874.jpg", "Обложка")</f>
        <v>Обложка</v>
      </c>
      <c r="V466" s="28" t="str">
        <f>HYPERLINK("https://znanium.ru/catalog/product/1834414", "Ознакомиться")</f>
        <v>Ознакомиться</v>
      </c>
      <c r="W466" s="8" t="s">
        <v>119</v>
      </c>
      <c r="X466" s="6"/>
      <c r="Y466" s="6"/>
      <c r="Z466" s="6"/>
      <c r="AA466" s="6" t="s">
        <v>258</v>
      </c>
    </row>
    <row r="467" spans="1:27" s="4" customFormat="1" ht="42" customHeight="1">
      <c r="A467" s="5">
        <v>0</v>
      </c>
      <c r="B467" s="6" t="s">
        <v>2842</v>
      </c>
      <c r="C467" s="13">
        <v>854.9</v>
      </c>
      <c r="D467" s="8" t="s">
        <v>2843</v>
      </c>
      <c r="E467" s="8" t="s">
        <v>2844</v>
      </c>
      <c r="F467" s="8" t="s">
        <v>477</v>
      </c>
      <c r="G467" s="6" t="s">
        <v>53</v>
      </c>
      <c r="H467" s="6" t="s">
        <v>352</v>
      </c>
      <c r="I467" s="8"/>
      <c r="J467" s="9">
        <v>1</v>
      </c>
      <c r="K467" s="9">
        <v>224</v>
      </c>
      <c r="L467" s="9">
        <v>2022</v>
      </c>
      <c r="M467" s="8" t="s">
        <v>2845</v>
      </c>
      <c r="N467" s="8" t="s">
        <v>41</v>
      </c>
      <c r="O467" s="8" t="s">
        <v>42</v>
      </c>
      <c r="P467" s="6" t="s">
        <v>66</v>
      </c>
      <c r="Q467" s="8" t="s">
        <v>67</v>
      </c>
      <c r="R467" s="10" t="s">
        <v>234</v>
      </c>
      <c r="S467" s="11"/>
      <c r="T467" s="6"/>
      <c r="U467" s="28" t="str">
        <f>HYPERLINK("https://media.infra-m.ru/1852/1852222/cover/1852222.jpg", "Обложка")</f>
        <v>Обложка</v>
      </c>
      <c r="V467" s="28" t="str">
        <f>HYPERLINK("https://znanium.ru/catalog/product/1001953", "Ознакомиться")</f>
        <v>Ознакомиться</v>
      </c>
      <c r="W467" s="8" t="s">
        <v>480</v>
      </c>
      <c r="X467" s="6"/>
      <c r="Y467" s="6"/>
      <c r="Z467" s="6"/>
      <c r="AA467" s="6" t="s">
        <v>101</v>
      </c>
    </row>
    <row r="468" spans="1:27" s="4" customFormat="1" ht="44.1" customHeight="1">
      <c r="A468" s="5">
        <v>0</v>
      </c>
      <c r="B468" s="6" t="s">
        <v>2846</v>
      </c>
      <c r="C468" s="13">
        <v>989.9</v>
      </c>
      <c r="D468" s="8" t="s">
        <v>2847</v>
      </c>
      <c r="E468" s="8" t="s">
        <v>2848</v>
      </c>
      <c r="F468" s="8" t="s">
        <v>2849</v>
      </c>
      <c r="G468" s="6" t="s">
        <v>53</v>
      </c>
      <c r="H468" s="6" t="s">
        <v>352</v>
      </c>
      <c r="I468" s="8"/>
      <c r="J468" s="9">
        <v>1</v>
      </c>
      <c r="K468" s="9">
        <v>204</v>
      </c>
      <c r="L468" s="9">
        <v>2019</v>
      </c>
      <c r="M468" s="8" t="s">
        <v>2850</v>
      </c>
      <c r="N468" s="8" t="s">
        <v>41</v>
      </c>
      <c r="O468" s="8" t="s">
        <v>42</v>
      </c>
      <c r="P468" s="6" t="s">
        <v>43</v>
      </c>
      <c r="Q468" s="8" t="s">
        <v>44</v>
      </c>
      <c r="R468" s="10" t="s">
        <v>2851</v>
      </c>
      <c r="S468" s="11"/>
      <c r="T468" s="6"/>
      <c r="U468" s="12"/>
      <c r="V468" s="12"/>
      <c r="W468" s="8" t="s">
        <v>328</v>
      </c>
      <c r="X468" s="6"/>
      <c r="Y468" s="6"/>
      <c r="Z468" s="6"/>
      <c r="AA468" s="6" t="s">
        <v>173</v>
      </c>
    </row>
    <row r="469" spans="1:27" s="4" customFormat="1" ht="51.95" customHeight="1">
      <c r="A469" s="5">
        <v>0</v>
      </c>
      <c r="B469" s="6" t="s">
        <v>2852</v>
      </c>
      <c r="C469" s="7">
        <v>1034.9000000000001</v>
      </c>
      <c r="D469" s="8" t="s">
        <v>2853</v>
      </c>
      <c r="E469" s="8" t="s">
        <v>2854</v>
      </c>
      <c r="F469" s="8" t="s">
        <v>2855</v>
      </c>
      <c r="G469" s="6" t="s">
        <v>37</v>
      </c>
      <c r="H469" s="6" t="s">
        <v>64</v>
      </c>
      <c r="I469" s="8"/>
      <c r="J469" s="9">
        <v>1</v>
      </c>
      <c r="K469" s="9">
        <v>304</v>
      </c>
      <c r="L469" s="9">
        <v>2019</v>
      </c>
      <c r="M469" s="8" t="s">
        <v>2856</v>
      </c>
      <c r="N469" s="8" t="s">
        <v>41</v>
      </c>
      <c r="O469" s="8" t="s">
        <v>56</v>
      </c>
      <c r="P469" s="6" t="s">
        <v>43</v>
      </c>
      <c r="Q469" s="8" t="s">
        <v>67</v>
      </c>
      <c r="R469" s="10" t="s">
        <v>2857</v>
      </c>
      <c r="S469" s="11"/>
      <c r="T469" s="6"/>
      <c r="U469" s="28" t="str">
        <f>HYPERLINK("https://media.infra-m.ru/1011/1011092/cover/1011092.jpg", "Обложка")</f>
        <v>Обложка</v>
      </c>
      <c r="V469" s="28" t="str">
        <f>HYPERLINK("https://znanium.ru/catalog/product/1011092", "Ознакомиться")</f>
        <v>Ознакомиться</v>
      </c>
      <c r="W469" s="8" t="s">
        <v>69</v>
      </c>
      <c r="X469" s="6"/>
      <c r="Y469" s="6"/>
      <c r="Z469" s="6"/>
      <c r="AA469" s="6" t="s">
        <v>213</v>
      </c>
    </row>
    <row r="470" spans="1:27" s="4" customFormat="1" ht="51.95" customHeight="1">
      <c r="A470" s="5">
        <v>0</v>
      </c>
      <c r="B470" s="6" t="s">
        <v>2858</v>
      </c>
      <c r="C470" s="13">
        <v>314.89999999999998</v>
      </c>
      <c r="D470" s="8" t="s">
        <v>2859</v>
      </c>
      <c r="E470" s="8" t="s">
        <v>2860</v>
      </c>
      <c r="F470" s="8" t="s">
        <v>2861</v>
      </c>
      <c r="G470" s="6" t="s">
        <v>53</v>
      </c>
      <c r="H470" s="6" t="s">
        <v>38</v>
      </c>
      <c r="I470" s="8" t="s">
        <v>39</v>
      </c>
      <c r="J470" s="9">
        <v>1</v>
      </c>
      <c r="K470" s="9">
        <v>102</v>
      </c>
      <c r="L470" s="9">
        <v>2018</v>
      </c>
      <c r="M470" s="8" t="s">
        <v>2862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2863</v>
      </c>
      <c r="S470" s="11"/>
      <c r="T470" s="6"/>
      <c r="U470" s="28" t="str">
        <f>HYPERLINK("https://media.infra-m.ru/0926/0926724/cover/926724.jpg", "Обложка")</f>
        <v>Обложка</v>
      </c>
      <c r="V470" s="28" t="str">
        <f>HYPERLINK("https://znanium.ru/catalog/product/926724", "Ознакомиться")</f>
        <v>Ознакомиться</v>
      </c>
      <c r="W470" s="8" t="s">
        <v>2864</v>
      </c>
      <c r="X470" s="6"/>
      <c r="Y470" s="6"/>
      <c r="Z470" s="6"/>
      <c r="AA470" s="6" t="s">
        <v>89</v>
      </c>
    </row>
    <row r="471" spans="1:27" s="4" customFormat="1" ht="42" customHeight="1">
      <c r="A471" s="5">
        <v>0</v>
      </c>
      <c r="B471" s="6" t="s">
        <v>2865</v>
      </c>
      <c r="C471" s="13">
        <v>514.9</v>
      </c>
      <c r="D471" s="8" t="s">
        <v>2866</v>
      </c>
      <c r="E471" s="8" t="s">
        <v>2867</v>
      </c>
      <c r="F471" s="8" t="s">
        <v>2868</v>
      </c>
      <c r="G471" s="6" t="s">
        <v>37</v>
      </c>
      <c r="H471" s="6" t="s">
        <v>38</v>
      </c>
      <c r="I471" s="8" t="s">
        <v>39</v>
      </c>
      <c r="J471" s="9">
        <v>1</v>
      </c>
      <c r="K471" s="9">
        <v>148</v>
      </c>
      <c r="L471" s="9">
        <v>2020</v>
      </c>
      <c r="M471" s="8" t="s">
        <v>2869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558</v>
      </c>
      <c r="S471" s="11"/>
      <c r="T471" s="6"/>
      <c r="U471" s="28" t="str">
        <f>HYPERLINK("https://media.infra-m.ru/1047/1047194/cover/1047194.jpg", "Обложка")</f>
        <v>Обложка</v>
      </c>
      <c r="V471" s="28" t="str">
        <f>HYPERLINK("https://znanium.ru/catalog/product/1047194", "Ознакомиться")</f>
        <v>Ознакомиться</v>
      </c>
      <c r="W471" s="8" t="s">
        <v>2870</v>
      </c>
      <c r="X471" s="6"/>
      <c r="Y471" s="6"/>
      <c r="Z471" s="6"/>
      <c r="AA471" s="6" t="s">
        <v>89</v>
      </c>
    </row>
    <row r="472" spans="1:27" s="4" customFormat="1" ht="42" customHeight="1">
      <c r="A472" s="5">
        <v>0</v>
      </c>
      <c r="B472" s="6" t="s">
        <v>2871</v>
      </c>
      <c r="C472" s="13">
        <v>404.9</v>
      </c>
      <c r="D472" s="8" t="s">
        <v>2872</v>
      </c>
      <c r="E472" s="8" t="s">
        <v>2873</v>
      </c>
      <c r="F472" s="8" t="s">
        <v>2874</v>
      </c>
      <c r="G472" s="6" t="s">
        <v>53</v>
      </c>
      <c r="H472" s="6" t="s">
        <v>38</v>
      </c>
      <c r="I472" s="8" t="s">
        <v>39</v>
      </c>
      <c r="J472" s="9">
        <v>1</v>
      </c>
      <c r="K472" s="9">
        <v>118</v>
      </c>
      <c r="L472" s="9">
        <v>2019</v>
      </c>
      <c r="M472" s="8" t="s">
        <v>2875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2835</v>
      </c>
      <c r="S472" s="11"/>
      <c r="T472" s="6"/>
      <c r="U472" s="28" t="str">
        <f>HYPERLINK("https://media.infra-m.ru/1015/1015156/cover/1015156.jpg", "Обложка")</f>
        <v>Обложка</v>
      </c>
      <c r="V472" s="28" t="str">
        <f>HYPERLINK("https://znanium.ru/catalog/product/1015156", "Ознакомиться")</f>
        <v>Ознакомиться</v>
      </c>
      <c r="W472" s="8" t="s">
        <v>166</v>
      </c>
      <c r="X472" s="6"/>
      <c r="Y472" s="6"/>
      <c r="Z472" s="6"/>
      <c r="AA472" s="6" t="s">
        <v>321</v>
      </c>
    </row>
    <row r="473" spans="1:27" s="4" customFormat="1" ht="51.95" customHeight="1">
      <c r="A473" s="5">
        <v>0</v>
      </c>
      <c r="B473" s="6" t="s">
        <v>2876</v>
      </c>
      <c r="C473" s="13">
        <v>840</v>
      </c>
      <c r="D473" s="8" t="s">
        <v>2877</v>
      </c>
      <c r="E473" s="8" t="s">
        <v>2878</v>
      </c>
      <c r="F473" s="8" t="s">
        <v>1221</v>
      </c>
      <c r="G473" s="6" t="s">
        <v>53</v>
      </c>
      <c r="H473" s="6" t="s">
        <v>38</v>
      </c>
      <c r="I473" s="8" t="s">
        <v>39</v>
      </c>
      <c r="J473" s="9">
        <v>1</v>
      </c>
      <c r="K473" s="9">
        <v>179</v>
      </c>
      <c r="L473" s="9">
        <v>2024</v>
      </c>
      <c r="M473" s="8" t="s">
        <v>2879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2880</v>
      </c>
      <c r="S473" s="11"/>
      <c r="T473" s="6"/>
      <c r="U473" s="28" t="str">
        <f>HYPERLINK("https://media.infra-m.ru/1907/1907551/cover/1907551.jpg", "Обложка")</f>
        <v>Обложка</v>
      </c>
      <c r="V473" s="28" t="str">
        <f>HYPERLINK("https://znanium.ru/catalog/product/1907551", "Ознакомиться")</f>
        <v>Ознакомиться</v>
      </c>
      <c r="W473" s="8" t="s">
        <v>166</v>
      </c>
      <c r="X473" s="6"/>
      <c r="Y473" s="6"/>
      <c r="Z473" s="6"/>
      <c r="AA473" s="6" t="s">
        <v>89</v>
      </c>
    </row>
    <row r="474" spans="1:27" s="4" customFormat="1" ht="51.95" customHeight="1">
      <c r="A474" s="5">
        <v>0</v>
      </c>
      <c r="B474" s="6" t="s">
        <v>2881</v>
      </c>
      <c r="C474" s="13">
        <v>874.9</v>
      </c>
      <c r="D474" s="8" t="s">
        <v>2882</v>
      </c>
      <c r="E474" s="8" t="s">
        <v>2883</v>
      </c>
      <c r="F474" s="8" t="s">
        <v>2884</v>
      </c>
      <c r="G474" s="6" t="s">
        <v>37</v>
      </c>
      <c r="H474" s="6" t="s">
        <v>352</v>
      </c>
      <c r="I474" s="8"/>
      <c r="J474" s="9">
        <v>1</v>
      </c>
      <c r="K474" s="9">
        <v>256</v>
      </c>
      <c r="L474" s="9">
        <v>2019</v>
      </c>
      <c r="M474" s="8" t="s">
        <v>2885</v>
      </c>
      <c r="N474" s="8" t="s">
        <v>41</v>
      </c>
      <c r="O474" s="8" t="s">
        <v>96</v>
      </c>
      <c r="P474" s="6" t="s">
        <v>43</v>
      </c>
      <c r="Q474" s="8" t="s">
        <v>44</v>
      </c>
      <c r="R474" s="10" t="s">
        <v>2886</v>
      </c>
      <c r="S474" s="11"/>
      <c r="T474" s="6"/>
      <c r="U474" s="28" t="str">
        <f>HYPERLINK("https://media.infra-m.ru/1012/1012445/cover/1012445.jpg", "Обложка")</f>
        <v>Обложка</v>
      </c>
      <c r="V474" s="28" t="str">
        <f>HYPERLINK("https://znanium.ru/catalog/product/1012445", "Ознакомиться")</f>
        <v>Ознакомиться</v>
      </c>
      <c r="W474" s="8" t="s">
        <v>119</v>
      </c>
      <c r="X474" s="6"/>
      <c r="Y474" s="6"/>
      <c r="Z474" s="6"/>
      <c r="AA474" s="6" t="s">
        <v>59</v>
      </c>
    </row>
    <row r="475" spans="1:27" s="4" customFormat="1" ht="51.95" customHeight="1">
      <c r="A475" s="5">
        <v>0</v>
      </c>
      <c r="B475" s="6" t="s">
        <v>2887</v>
      </c>
      <c r="C475" s="7">
        <v>1400</v>
      </c>
      <c r="D475" s="8" t="s">
        <v>2888</v>
      </c>
      <c r="E475" s="8" t="s">
        <v>2889</v>
      </c>
      <c r="F475" s="8" t="s">
        <v>2890</v>
      </c>
      <c r="G475" s="6" t="s">
        <v>75</v>
      </c>
      <c r="H475" s="6" t="s">
        <v>352</v>
      </c>
      <c r="I475" s="8" t="s">
        <v>394</v>
      </c>
      <c r="J475" s="9">
        <v>1</v>
      </c>
      <c r="K475" s="9">
        <v>320</v>
      </c>
      <c r="L475" s="9">
        <v>2023</v>
      </c>
      <c r="M475" s="8" t="s">
        <v>2891</v>
      </c>
      <c r="N475" s="8" t="s">
        <v>41</v>
      </c>
      <c r="O475" s="8" t="s">
        <v>42</v>
      </c>
      <c r="P475" s="6" t="s">
        <v>66</v>
      </c>
      <c r="Q475" s="8" t="s">
        <v>97</v>
      </c>
      <c r="R475" s="10" t="s">
        <v>2892</v>
      </c>
      <c r="S475" s="11"/>
      <c r="T475" s="6"/>
      <c r="U475" s="28" t="str">
        <f>HYPERLINK("https://media.infra-m.ru/1932/1932345/cover/1932345.jpg", "Обложка")</f>
        <v>Обложка</v>
      </c>
      <c r="V475" s="28" t="str">
        <f>HYPERLINK("https://znanium.ru/catalog/product/1932345", "Ознакомиться")</f>
        <v>Ознакомиться</v>
      </c>
      <c r="W475" s="8" t="s">
        <v>119</v>
      </c>
      <c r="X475" s="6"/>
      <c r="Y475" s="6"/>
      <c r="Z475" s="6"/>
      <c r="AA475" s="6" t="s">
        <v>101</v>
      </c>
    </row>
    <row r="476" spans="1:27" s="4" customFormat="1" ht="51.95" customHeight="1">
      <c r="A476" s="5">
        <v>0</v>
      </c>
      <c r="B476" s="6" t="s">
        <v>2893</v>
      </c>
      <c r="C476" s="13">
        <v>804.9</v>
      </c>
      <c r="D476" s="8" t="s">
        <v>2894</v>
      </c>
      <c r="E476" s="8" t="s">
        <v>2895</v>
      </c>
      <c r="F476" s="8" t="s">
        <v>2896</v>
      </c>
      <c r="G476" s="6" t="s">
        <v>53</v>
      </c>
      <c r="H476" s="6" t="s">
        <v>38</v>
      </c>
      <c r="I476" s="8" t="s">
        <v>39</v>
      </c>
      <c r="J476" s="9">
        <v>1</v>
      </c>
      <c r="K476" s="9">
        <v>236</v>
      </c>
      <c r="L476" s="9">
        <v>2019</v>
      </c>
      <c r="M476" s="8" t="s">
        <v>2897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2898</v>
      </c>
      <c r="S476" s="11"/>
      <c r="T476" s="6"/>
      <c r="U476" s="28" t="str">
        <f>HYPERLINK("https://media.infra-m.ru/1010/1010051/cover/1010051.jpg", "Обложка")</f>
        <v>Обложка</v>
      </c>
      <c r="V476" s="28" t="str">
        <f>HYPERLINK("https://znanium.ru/catalog/product/1010051", "Ознакомиться")</f>
        <v>Ознакомиться</v>
      </c>
      <c r="W476" s="8" t="s">
        <v>166</v>
      </c>
      <c r="X476" s="6"/>
      <c r="Y476" s="6"/>
      <c r="Z476" s="6"/>
      <c r="AA476" s="6" t="s">
        <v>321</v>
      </c>
    </row>
    <row r="477" spans="1:27" s="4" customFormat="1" ht="51.95" customHeight="1">
      <c r="A477" s="5">
        <v>0</v>
      </c>
      <c r="B477" s="6" t="s">
        <v>2899</v>
      </c>
      <c r="C477" s="7">
        <v>1194</v>
      </c>
      <c r="D477" s="8" t="s">
        <v>2900</v>
      </c>
      <c r="E477" s="8" t="s">
        <v>2901</v>
      </c>
      <c r="F477" s="8" t="s">
        <v>1551</v>
      </c>
      <c r="G477" s="6" t="s">
        <v>75</v>
      </c>
      <c r="H477" s="6" t="s">
        <v>38</v>
      </c>
      <c r="I477" s="8" t="s">
        <v>94</v>
      </c>
      <c r="J477" s="9">
        <v>1</v>
      </c>
      <c r="K477" s="9">
        <v>265</v>
      </c>
      <c r="L477" s="9">
        <v>2023</v>
      </c>
      <c r="M477" s="8" t="s">
        <v>2902</v>
      </c>
      <c r="N477" s="8" t="s">
        <v>41</v>
      </c>
      <c r="O477" s="8" t="s">
        <v>42</v>
      </c>
      <c r="P477" s="6" t="s">
        <v>66</v>
      </c>
      <c r="Q477" s="8" t="s">
        <v>97</v>
      </c>
      <c r="R477" s="10" t="s">
        <v>1229</v>
      </c>
      <c r="S477" s="11" t="s">
        <v>2903</v>
      </c>
      <c r="T477" s="6"/>
      <c r="U477" s="28" t="str">
        <f>HYPERLINK("https://media.infra-m.ru/2006/2006043/cover/2006043.jpg", "Обложка")</f>
        <v>Обложка</v>
      </c>
      <c r="V477" s="28" t="str">
        <f>HYPERLINK("https://znanium.ru/catalog/product/2006043", "Ознакомиться")</f>
        <v>Ознакомиться</v>
      </c>
      <c r="W477" s="8" t="s">
        <v>1477</v>
      </c>
      <c r="X477" s="6"/>
      <c r="Y477" s="6"/>
      <c r="Z477" s="6"/>
      <c r="AA477" s="6" t="s">
        <v>82</v>
      </c>
    </row>
    <row r="478" spans="1:27" s="4" customFormat="1" ht="51.95" customHeight="1">
      <c r="A478" s="5">
        <v>0</v>
      </c>
      <c r="B478" s="6" t="s">
        <v>2904</v>
      </c>
      <c r="C478" s="13">
        <v>950</v>
      </c>
      <c r="D478" s="8" t="s">
        <v>2905</v>
      </c>
      <c r="E478" s="8" t="s">
        <v>2906</v>
      </c>
      <c r="F478" s="8" t="s">
        <v>2907</v>
      </c>
      <c r="G478" s="6" t="s">
        <v>37</v>
      </c>
      <c r="H478" s="6" t="s">
        <v>38</v>
      </c>
      <c r="I478" s="8" t="s">
        <v>859</v>
      </c>
      <c r="J478" s="9">
        <v>1</v>
      </c>
      <c r="K478" s="9">
        <v>218</v>
      </c>
      <c r="L478" s="9">
        <v>2022</v>
      </c>
      <c r="M478" s="8" t="s">
        <v>2908</v>
      </c>
      <c r="N478" s="8" t="s">
        <v>41</v>
      </c>
      <c r="O478" s="8" t="s">
        <v>42</v>
      </c>
      <c r="P478" s="6" t="s">
        <v>66</v>
      </c>
      <c r="Q478" s="8" t="s">
        <v>861</v>
      </c>
      <c r="R478" s="10" t="s">
        <v>1755</v>
      </c>
      <c r="S478" s="11" t="s">
        <v>2909</v>
      </c>
      <c r="T478" s="6"/>
      <c r="U478" s="28" t="str">
        <f>HYPERLINK("https://media.infra-m.ru/1474/1474226/cover/1474226.jpg", "Обложка")</f>
        <v>Обложка</v>
      </c>
      <c r="V478" s="28" t="str">
        <f>HYPERLINK("https://znanium.ru/catalog/product/1474226", "Ознакомиться")</f>
        <v>Ознакомиться</v>
      </c>
      <c r="W478" s="8" t="s">
        <v>109</v>
      </c>
      <c r="X478" s="6"/>
      <c r="Y478" s="6"/>
      <c r="Z478" s="6"/>
      <c r="AA478" s="6" t="s">
        <v>688</v>
      </c>
    </row>
    <row r="479" spans="1:27" s="4" customFormat="1" ht="51.95" customHeight="1">
      <c r="A479" s="5">
        <v>0</v>
      </c>
      <c r="B479" s="6" t="s">
        <v>2910</v>
      </c>
      <c r="C479" s="7">
        <v>1274.9000000000001</v>
      </c>
      <c r="D479" s="8" t="s">
        <v>2911</v>
      </c>
      <c r="E479" s="8" t="s">
        <v>2912</v>
      </c>
      <c r="F479" s="8" t="s">
        <v>2913</v>
      </c>
      <c r="G479" s="6" t="s">
        <v>37</v>
      </c>
      <c r="H479" s="6" t="s">
        <v>38</v>
      </c>
      <c r="I479" s="8" t="s">
        <v>39</v>
      </c>
      <c r="J479" s="9">
        <v>1</v>
      </c>
      <c r="K479" s="9">
        <v>410</v>
      </c>
      <c r="L479" s="9">
        <v>2018</v>
      </c>
      <c r="M479" s="8" t="s">
        <v>2914</v>
      </c>
      <c r="N479" s="8" t="s">
        <v>41</v>
      </c>
      <c r="O479" s="8" t="s">
        <v>42</v>
      </c>
      <c r="P479" s="6" t="s">
        <v>43</v>
      </c>
      <c r="Q479" s="8" t="s">
        <v>44</v>
      </c>
      <c r="R479" s="10" t="s">
        <v>2915</v>
      </c>
      <c r="S479" s="11"/>
      <c r="T479" s="6"/>
      <c r="U479" s="28" t="str">
        <f>HYPERLINK("https://media.infra-m.ru/0929/0929652/cover/929652.jpg", "Обложка")</f>
        <v>Обложка</v>
      </c>
      <c r="V479" s="28" t="str">
        <f>HYPERLINK("https://znanium.ru/catalog/product/1167890", "Ознакомиться")</f>
        <v>Ознакомиться</v>
      </c>
      <c r="W479" s="8" t="s">
        <v>46</v>
      </c>
      <c r="X479" s="6"/>
      <c r="Y479" s="6"/>
      <c r="Z479" s="6"/>
      <c r="AA479" s="6" t="s">
        <v>473</v>
      </c>
    </row>
    <row r="480" spans="1:27" s="4" customFormat="1" ht="51.95" customHeight="1">
      <c r="A480" s="5">
        <v>0</v>
      </c>
      <c r="B480" s="6" t="s">
        <v>2916</v>
      </c>
      <c r="C480" s="7">
        <v>1894</v>
      </c>
      <c r="D480" s="8" t="s">
        <v>2917</v>
      </c>
      <c r="E480" s="8" t="s">
        <v>2918</v>
      </c>
      <c r="F480" s="8" t="s">
        <v>2913</v>
      </c>
      <c r="G480" s="6" t="s">
        <v>75</v>
      </c>
      <c r="H480" s="6" t="s">
        <v>38</v>
      </c>
      <c r="I480" s="8" t="s">
        <v>39</v>
      </c>
      <c r="J480" s="9">
        <v>1</v>
      </c>
      <c r="K480" s="9">
        <v>410</v>
      </c>
      <c r="L480" s="9">
        <v>2024</v>
      </c>
      <c r="M480" s="8" t="s">
        <v>2914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2915</v>
      </c>
      <c r="S480" s="11"/>
      <c r="T480" s="6"/>
      <c r="U480" s="28" t="str">
        <f>HYPERLINK("https://media.infra-m.ru/2061/2061319/cover/2061319.jpg", "Обложка")</f>
        <v>Обложка</v>
      </c>
      <c r="V480" s="28" t="str">
        <f>HYPERLINK("https://znanium.ru/catalog/product/1167890", "Ознакомиться")</f>
        <v>Ознакомиться</v>
      </c>
      <c r="W480" s="8" t="s">
        <v>46</v>
      </c>
      <c r="X480" s="6"/>
      <c r="Y480" s="6"/>
      <c r="Z480" s="6"/>
      <c r="AA480" s="6" t="s">
        <v>445</v>
      </c>
    </row>
    <row r="481" spans="1:27" s="4" customFormat="1" ht="51.95" customHeight="1">
      <c r="A481" s="5">
        <v>0</v>
      </c>
      <c r="B481" s="6" t="s">
        <v>2919</v>
      </c>
      <c r="C481" s="7">
        <v>1134.9000000000001</v>
      </c>
      <c r="D481" s="8" t="s">
        <v>2920</v>
      </c>
      <c r="E481" s="8" t="s">
        <v>2921</v>
      </c>
      <c r="F481" s="8" t="s">
        <v>2922</v>
      </c>
      <c r="G481" s="6" t="s">
        <v>53</v>
      </c>
      <c r="H481" s="6" t="s">
        <v>38</v>
      </c>
      <c r="I481" s="8" t="s">
        <v>39</v>
      </c>
      <c r="J481" s="9">
        <v>1</v>
      </c>
      <c r="K481" s="9">
        <v>253</v>
      </c>
      <c r="L481" s="9">
        <v>2023</v>
      </c>
      <c r="M481" s="8" t="s">
        <v>2923</v>
      </c>
      <c r="N481" s="8" t="s">
        <v>41</v>
      </c>
      <c r="O481" s="8" t="s">
        <v>42</v>
      </c>
      <c r="P481" s="6" t="s">
        <v>43</v>
      </c>
      <c r="Q481" s="8" t="s">
        <v>44</v>
      </c>
      <c r="R481" s="10" t="s">
        <v>2924</v>
      </c>
      <c r="S481" s="11"/>
      <c r="T481" s="6"/>
      <c r="U481" s="28" t="str">
        <f>HYPERLINK("https://media.infra-m.ru/1913/1913709/cover/1913709.jpg", "Обложка")</f>
        <v>Обложка</v>
      </c>
      <c r="V481" s="28" t="str">
        <f>HYPERLINK("https://znanium.ru/catalog/product/938071", "Ознакомиться")</f>
        <v>Ознакомиться</v>
      </c>
      <c r="W481" s="8" t="s">
        <v>1354</v>
      </c>
      <c r="X481" s="6"/>
      <c r="Y481" s="6"/>
      <c r="Z481" s="6"/>
      <c r="AA481" s="6" t="s">
        <v>89</v>
      </c>
    </row>
    <row r="482" spans="1:27" s="4" customFormat="1" ht="51.95" customHeight="1">
      <c r="A482" s="5">
        <v>0</v>
      </c>
      <c r="B482" s="6" t="s">
        <v>2925</v>
      </c>
      <c r="C482" s="7">
        <v>1070</v>
      </c>
      <c r="D482" s="8" t="s">
        <v>2926</v>
      </c>
      <c r="E482" s="8" t="s">
        <v>2927</v>
      </c>
      <c r="F482" s="8" t="s">
        <v>1613</v>
      </c>
      <c r="G482" s="6" t="s">
        <v>37</v>
      </c>
      <c r="H482" s="6" t="s">
        <v>64</v>
      </c>
      <c r="I482" s="8"/>
      <c r="J482" s="9">
        <v>1</v>
      </c>
      <c r="K482" s="9">
        <v>304</v>
      </c>
      <c r="L482" s="9">
        <v>2020</v>
      </c>
      <c r="M482" s="8" t="s">
        <v>2928</v>
      </c>
      <c r="N482" s="8" t="s">
        <v>41</v>
      </c>
      <c r="O482" s="8" t="s">
        <v>56</v>
      </c>
      <c r="P482" s="6" t="s">
        <v>43</v>
      </c>
      <c r="Q482" s="8" t="s">
        <v>44</v>
      </c>
      <c r="R482" s="10" t="s">
        <v>2929</v>
      </c>
      <c r="S482" s="11"/>
      <c r="T482" s="6"/>
      <c r="U482" s="28" t="str">
        <f>HYPERLINK("https://media.infra-m.ru/1079/1079226/cover/1079226.jpg", "Обложка")</f>
        <v>Обложка</v>
      </c>
      <c r="V482" s="28" t="str">
        <f>HYPERLINK("https://znanium.ru/catalog/product/1079226", "Ознакомиться")</f>
        <v>Ознакомиться</v>
      </c>
      <c r="W482" s="8" t="s">
        <v>1199</v>
      </c>
      <c r="X482" s="6"/>
      <c r="Y482" s="6"/>
      <c r="Z482" s="6"/>
      <c r="AA482" s="6" t="s">
        <v>82</v>
      </c>
    </row>
    <row r="483" spans="1:27" s="4" customFormat="1" ht="51.95" customHeight="1">
      <c r="A483" s="5">
        <v>0</v>
      </c>
      <c r="B483" s="6" t="s">
        <v>2930</v>
      </c>
      <c r="C483" s="13">
        <v>980</v>
      </c>
      <c r="D483" s="8" t="s">
        <v>2931</v>
      </c>
      <c r="E483" s="8" t="s">
        <v>2932</v>
      </c>
      <c r="F483" s="8" t="s">
        <v>2933</v>
      </c>
      <c r="G483" s="6" t="s">
        <v>37</v>
      </c>
      <c r="H483" s="6" t="s">
        <v>38</v>
      </c>
      <c r="I483" s="8" t="s">
        <v>1488</v>
      </c>
      <c r="J483" s="9">
        <v>1</v>
      </c>
      <c r="K483" s="9">
        <v>203</v>
      </c>
      <c r="L483" s="9">
        <v>2023</v>
      </c>
      <c r="M483" s="8" t="s">
        <v>2934</v>
      </c>
      <c r="N483" s="8" t="s">
        <v>41</v>
      </c>
      <c r="O483" s="8" t="s">
        <v>42</v>
      </c>
      <c r="P483" s="6" t="s">
        <v>43</v>
      </c>
      <c r="Q483" s="8" t="s">
        <v>44</v>
      </c>
      <c r="R483" s="10" t="s">
        <v>2935</v>
      </c>
      <c r="S483" s="11"/>
      <c r="T483" s="6"/>
      <c r="U483" s="28" t="str">
        <f>HYPERLINK("https://media.infra-m.ru/1984/1984071/cover/1984071.jpg", "Обложка")</f>
        <v>Обложка</v>
      </c>
      <c r="V483" s="28" t="str">
        <f>HYPERLINK("https://znanium.ru/catalog/product/1984071", "Ознакомиться")</f>
        <v>Ознакомиться</v>
      </c>
      <c r="W483" s="8" t="s">
        <v>119</v>
      </c>
      <c r="X483" s="6" t="s">
        <v>2172</v>
      </c>
      <c r="Y483" s="6"/>
      <c r="Z483" s="6"/>
      <c r="AA483" s="6" t="s">
        <v>120</v>
      </c>
    </row>
    <row r="484" spans="1:27" s="4" customFormat="1" ht="51.95" customHeight="1">
      <c r="A484" s="5">
        <v>0</v>
      </c>
      <c r="B484" s="6" t="s">
        <v>2936</v>
      </c>
      <c r="C484" s="7">
        <v>1864</v>
      </c>
      <c r="D484" s="8" t="s">
        <v>2937</v>
      </c>
      <c r="E484" s="8" t="s">
        <v>2938</v>
      </c>
      <c r="F484" s="8" t="s">
        <v>2939</v>
      </c>
      <c r="G484" s="6" t="s">
        <v>53</v>
      </c>
      <c r="H484" s="6" t="s">
        <v>54</v>
      </c>
      <c r="I484" s="8" t="s">
        <v>39</v>
      </c>
      <c r="J484" s="9">
        <v>1</v>
      </c>
      <c r="K484" s="9">
        <v>397</v>
      </c>
      <c r="L484" s="9">
        <v>2024</v>
      </c>
      <c r="M484" s="8" t="s">
        <v>2940</v>
      </c>
      <c r="N484" s="8" t="s">
        <v>41</v>
      </c>
      <c r="O484" s="8" t="s">
        <v>56</v>
      </c>
      <c r="P484" s="6" t="s">
        <v>66</v>
      </c>
      <c r="Q484" s="8" t="s">
        <v>44</v>
      </c>
      <c r="R484" s="10" t="s">
        <v>68</v>
      </c>
      <c r="S484" s="11"/>
      <c r="T484" s="6"/>
      <c r="U484" s="28" t="str">
        <f>HYPERLINK("https://media.infra-m.ru/2102/2102168/cover/2102168.jpg", "Обложка")</f>
        <v>Обложка</v>
      </c>
      <c r="V484" s="12"/>
      <c r="W484" s="8"/>
      <c r="X484" s="6"/>
      <c r="Y484" s="6"/>
      <c r="Z484" s="6"/>
      <c r="AA484" s="6" t="s">
        <v>59</v>
      </c>
    </row>
    <row r="485" spans="1:27" s="4" customFormat="1" ht="42" customHeight="1">
      <c r="A485" s="5">
        <v>0</v>
      </c>
      <c r="B485" s="6" t="s">
        <v>2941</v>
      </c>
      <c r="C485" s="7">
        <v>1004</v>
      </c>
      <c r="D485" s="8" t="s">
        <v>2942</v>
      </c>
      <c r="E485" s="8" t="s">
        <v>2943</v>
      </c>
      <c r="F485" s="8" t="s">
        <v>2944</v>
      </c>
      <c r="G485" s="6" t="s">
        <v>75</v>
      </c>
      <c r="H485" s="6" t="s">
        <v>38</v>
      </c>
      <c r="I485" s="8" t="s">
        <v>1488</v>
      </c>
      <c r="J485" s="9">
        <v>1</v>
      </c>
      <c r="K485" s="9">
        <v>219</v>
      </c>
      <c r="L485" s="9">
        <v>2023</v>
      </c>
      <c r="M485" s="8" t="s">
        <v>2945</v>
      </c>
      <c r="N485" s="8" t="s">
        <v>41</v>
      </c>
      <c r="O485" s="8" t="s">
        <v>42</v>
      </c>
      <c r="P485" s="6" t="s">
        <v>43</v>
      </c>
      <c r="Q485" s="8" t="s">
        <v>44</v>
      </c>
      <c r="R485" s="10" t="s">
        <v>1649</v>
      </c>
      <c r="S485" s="11"/>
      <c r="T485" s="6"/>
      <c r="U485" s="28" t="str">
        <f>HYPERLINK("https://media.infra-m.ru/2080/2080765/cover/2080765.jpg", "Обложка")</f>
        <v>Обложка</v>
      </c>
      <c r="V485" s="28" t="str">
        <f>HYPERLINK("https://znanium.ru/catalog/product/1873038", "Ознакомиться")</f>
        <v>Ознакомиться</v>
      </c>
      <c r="W485" s="8" t="s">
        <v>119</v>
      </c>
      <c r="X485" s="6"/>
      <c r="Y485" s="6"/>
      <c r="Z485" s="6"/>
      <c r="AA485" s="6" t="s">
        <v>173</v>
      </c>
    </row>
    <row r="486" spans="1:27" s="4" customFormat="1" ht="51.95" customHeight="1">
      <c r="A486" s="5">
        <v>0</v>
      </c>
      <c r="B486" s="6" t="s">
        <v>2946</v>
      </c>
      <c r="C486" s="7">
        <v>1890</v>
      </c>
      <c r="D486" s="8" t="s">
        <v>2947</v>
      </c>
      <c r="E486" s="8" t="s">
        <v>2948</v>
      </c>
      <c r="F486" s="8" t="s">
        <v>2828</v>
      </c>
      <c r="G486" s="6" t="s">
        <v>37</v>
      </c>
      <c r="H486" s="6" t="s">
        <v>38</v>
      </c>
      <c r="I486" s="8" t="s">
        <v>192</v>
      </c>
      <c r="J486" s="9">
        <v>1</v>
      </c>
      <c r="K486" s="9">
        <v>414</v>
      </c>
      <c r="L486" s="9">
        <v>2023</v>
      </c>
      <c r="M486" s="8" t="s">
        <v>2949</v>
      </c>
      <c r="N486" s="8" t="s">
        <v>41</v>
      </c>
      <c r="O486" s="8" t="s">
        <v>42</v>
      </c>
      <c r="P486" s="6" t="s">
        <v>78</v>
      </c>
      <c r="Q486" s="8" t="s">
        <v>141</v>
      </c>
      <c r="R486" s="10" t="s">
        <v>234</v>
      </c>
      <c r="S486" s="11" t="s">
        <v>421</v>
      </c>
      <c r="T486" s="6"/>
      <c r="U486" s="28" t="str">
        <f>HYPERLINK("https://media.infra-m.ru/2073/2073443/cover/2073443.jpg", "Обложка")</f>
        <v>Обложка</v>
      </c>
      <c r="V486" s="28" t="str">
        <f>HYPERLINK("https://znanium.ru/catalog/product/1907501", "Ознакомиться")</f>
        <v>Ознакомиться</v>
      </c>
      <c r="W486" s="8" t="s">
        <v>46</v>
      </c>
      <c r="X486" s="6"/>
      <c r="Y486" s="6"/>
      <c r="Z486" s="6"/>
      <c r="AA486" s="6" t="s">
        <v>134</v>
      </c>
    </row>
    <row r="487" spans="1:27" s="4" customFormat="1" ht="21.95" customHeight="1">
      <c r="A487" s="5">
        <v>0</v>
      </c>
      <c r="B487" s="6" t="s">
        <v>2950</v>
      </c>
      <c r="C487" s="13">
        <v>84.9</v>
      </c>
      <c r="D487" s="8" t="s">
        <v>2951</v>
      </c>
      <c r="E487" s="8" t="s">
        <v>2952</v>
      </c>
      <c r="F487" s="8"/>
      <c r="G487" s="6" t="s">
        <v>53</v>
      </c>
      <c r="H487" s="6" t="s">
        <v>54</v>
      </c>
      <c r="I487" s="8" t="s">
        <v>308</v>
      </c>
      <c r="J487" s="9">
        <v>1</v>
      </c>
      <c r="K487" s="9">
        <v>143</v>
      </c>
      <c r="L487" s="9">
        <v>2016</v>
      </c>
      <c r="M487" s="8" t="s">
        <v>2953</v>
      </c>
      <c r="N487" s="8" t="s">
        <v>41</v>
      </c>
      <c r="O487" s="8" t="s">
        <v>42</v>
      </c>
      <c r="P487" s="6" t="s">
        <v>310</v>
      </c>
      <c r="Q487" s="8" t="s">
        <v>97</v>
      </c>
      <c r="R487" s="10" t="s">
        <v>234</v>
      </c>
      <c r="S487" s="11"/>
      <c r="T487" s="6"/>
      <c r="U487" s="12"/>
      <c r="V487" s="28" t="str">
        <f>HYPERLINK("https://znanium.ru/catalog/product/614991", "Ознакомиться")</f>
        <v>Ознакомиться</v>
      </c>
      <c r="W487" s="8"/>
      <c r="X487" s="6"/>
      <c r="Y487" s="6"/>
      <c r="Z487" s="6"/>
      <c r="AA487" s="6" t="s">
        <v>473</v>
      </c>
    </row>
    <row r="488" spans="1:27" s="4" customFormat="1" ht="42" customHeight="1">
      <c r="A488" s="5">
        <v>0</v>
      </c>
      <c r="B488" s="6" t="s">
        <v>2954</v>
      </c>
      <c r="C488" s="13">
        <v>749.9</v>
      </c>
      <c r="D488" s="8" t="s">
        <v>2955</v>
      </c>
      <c r="E488" s="8" t="s">
        <v>2956</v>
      </c>
      <c r="F488" s="8" t="s">
        <v>2957</v>
      </c>
      <c r="G488" s="6" t="s">
        <v>1838</v>
      </c>
      <c r="H488" s="6" t="s">
        <v>1114</v>
      </c>
      <c r="I488" s="8" t="s">
        <v>39</v>
      </c>
      <c r="J488" s="9">
        <v>10</v>
      </c>
      <c r="K488" s="9">
        <v>397</v>
      </c>
      <c r="L488" s="9">
        <v>2015</v>
      </c>
      <c r="M488" s="8" t="s">
        <v>2958</v>
      </c>
      <c r="N488" s="8" t="s">
        <v>41</v>
      </c>
      <c r="O488" s="8" t="s">
        <v>42</v>
      </c>
      <c r="P488" s="6" t="s">
        <v>43</v>
      </c>
      <c r="Q488" s="8" t="s">
        <v>44</v>
      </c>
      <c r="R488" s="10" t="s">
        <v>2959</v>
      </c>
      <c r="S488" s="11"/>
      <c r="T488" s="6"/>
      <c r="U488" s="28" t="str">
        <f>HYPERLINK("https://media.infra-m.ru/0510/0510439/cover/510439.jpg", "Обложка")</f>
        <v>Обложка</v>
      </c>
      <c r="V488" s="28" t="str">
        <f>HYPERLINK("https://znanium.ru/catalog/product/204714", "Ознакомиться")</f>
        <v>Ознакомиться</v>
      </c>
      <c r="W488" s="8" t="s">
        <v>567</v>
      </c>
      <c r="X488" s="6"/>
      <c r="Y488" s="6"/>
      <c r="Z488" s="6"/>
      <c r="AA488" s="6" t="s">
        <v>613</v>
      </c>
    </row>
    <row r="489" spans="1:27" s="4" customFormat="1" ht="42" customHeight="1">
      <c r="A489" s="5">
        <v>0</v>
      </c>
      <c r="B489" s="6" t="s">
        <v>2960</v>
      </c>
      <c r="C489" s="7">
        <v>1054</v>
      </c>
      <c r="D489" s="8" t="s">
        <v>2961</v>
      </c>
      <c r="E489" s="8" t="s">
        <v>2962</v>
      </c>
      <c r="F489" s="8" t="s">
        <v>325</v>
      </c>
      <c r="G489" s="6" t="s">
        <v>75</v>
      </c>
      <c r="H489" s="6" t="s">
        <v>38</v>
      </c>
      <c r="I489" s="8"/>
      <c r="J489" s="9">
        <v>1</v>
      </c>
      <c r="K489" s="9">
        <v>222</v>
      </c>
      <c r="L489" s="9">
        <v>2024</v>
      </c>
      <c r="M489" s="8" t="s">
        <v>2963</v>
      </c>
      <c r="N489" s="8" t="s">
        <v>41</v>
      </c>
      <c r="O489" s="8" t="s">
        <v>42</v>
      </c>
      <c r="P489" s="6" t="s">
        <v>2964</v>
      </c>
      <c r="Q489" s="8" t="s">
        <v>44</v>
      </c>
      <c r="R489" s="10" t="s">
        <v>426</v>
      </c>
      <c r="S489" s="11"/>
      <c r="T489" s="6"/>
      <c r="U489" s="28" t="str">
        <f>HYPERLINK("https://media.infra-m.ru/2139/2139621/cover/2139621.jpg", "Обложка")</f>
        <v>Обложка</v>
      </c>
      <c r="V489" s="28" t="str">
        <f>HYPERLINK("https://znanium.ru/catalog/product/2138773", "Ознакомиться")</f>
        <v>Ознакомиться</v>
      </c>
      <c r="W489" s="8" t="s">
        <v>328</v>
      </c>
      <c r="X489" s="6"/>
      <c r="Y489" s="6"/>
      <c r="Z489" s="6"/>
      <c r="AA489" s="6" t="s">
        <v>633</v>
      </c>
    </row>
    <row r="490" spans="1:27" s="4" customFormat="1" ht="42" customHeight="1">
      <c r="A490" s="5">
        <v>0</v>
      </c>
      <c r="B490" s="6" t="s">
        <v>2965</v>
      </c>
      <c r="C490" s="7">
        <v>1319.9</v>
      </c>
      <c r="D490" s="8" t="s">
        <v>2966</v>
      </c>
      <c r="E490" s="8" t="s">
        <v>2967</v>
      </c>
      <c r="F490" s="8" t="s">
        <v>2968</v>
      </c>
      <c r="G490" s="6" t="s">
        <v>37</v>
      </c>
      <c r="H490" s="6" t="s">
        <v>352</v>
      </c>
      <c r="I490" s="8"/>
      <c r="J490" s="9">
        <v>1</v>
      </c>
      <c r="K490" s="9">
        <v>336</v>
      </c>
      <c r="L490" s="9">
        <v>2019</v>
      </c>
      <c r="M490" s="8" t="s">
        <v>2969</v>
      </c>
      <c r="N490" s="8" t="s">
        <v>41</v>
      </c>
      <c r="O490" s="8" t="s">
        <v>42</v>
      </c>
      <c r="P490" s="6" t="s">
        <v>43</v>
      </c>
      <c r="Q490" s="8" t="s">
        <v>44</v>
      </c>
      <c r="R490" s="10" t="s">
        <v>1649</v>
      </c>
      <c r="S490" s="11"/>
      <c r="T490" s="6"/>
      <c r="U490" s="28" t="str">
        <f>HYPERLINK("https://media.infra-m.ru/1064/1064966/cover/1064966.jpg", "Обложка")</f>
        <v>Обложка</v>
      </c>
      <c r="V490" s="28" t="str">
        <f>HYPERLINK("https://znanium.ru/catalog/product/1063562", "Ознакомиться")</f>
        <v>Ознакомиться</v>
      </c>
      <c r="W490" s="8" t="s">
        <v>496</v>
      </c>
      <c r="X490" s="6"/>
      <c r="Y490" s="6"/>
      <c r="Z490" s="6"/>
      <c r="AA490" s="6" t="s">
        <v>173</v>
      </c>
    </row>
    <row r="491" spans="1:27" s="4" customFormat="1" ht="42" customHeight="1">
      <c r="A491" s="5">
        <v>0</v>
      </c>
      <c r="B491" s="6" t="s">
        <v>2970</v>
      </c>
      <c r="C491" s="7">
        <v>1330</v>
      </c>
      <c r="D491" s="8" t="s">
        <v>2971</v>
      </c>
      <c r="E491" s="8" t="s">
        <v>2972</v>
      </c>
      <c r="F491" s="8" t="s">
        <v>2973</v>
      </c>
      <c r="G491" s="6" t="s">
        <v>75</v>
      </c>
      <c r="H491" s="6" t="s">
        <v>38</v>
      </c>
      <c r="I491" s="8" t="s">
        <v>39</v>
      </c>
      <c r="J491" s="9">
        <v>1</v>
      </c>
      <c r="K491" s="9">
        <v>289</v>
      </c>
      <c r="L491" s="9">
        <v>2024</v>
      </c>
      <c r="M491" s="8" t="s">
        <v>2974</v>
      </c>
      <c r="N491" s="8" t="s">
        <v>41</v>
      </c>
      <c r="O491" s="8" t="s">
        <v>96</v>
      </c>
      <c r="P491" s="6" t="s">
        <v>43</v>
      </c>
      <c r="Q491" s="8" t="s">
        <v>44</v>
      </c>
      <c r="R491" s="10" t="s">
        <v>107</v>
      </c>
      <c r="S491" s="11"/>
      <c r="T491" s="6" t="s">
        <v>151</v>
      </c>
      <c r="U491" s="28" t="str">
        <f>HYPERLINK("https://media.infra-m.ru/2117/2117173/cover/2117173.jpg", "Обложка")</f>
        <v>Обложка</v>
      </c>
      <c r="V491" s="28" t="str">
        <f>HYPERLINK("https://znanium.ru/catalog/product/2117173", "Ознакомиться")</f>
        <v>Ознакомиться</v>
      </c>
      <c r="W491" s="8" t="s">
        <v>46</v>
      </c>
      <c r="X491" s="6"/>
      <c r="Y491" s="6"/>
      <c r="Z491" s="6"/>
      <c r="AA491" s="6" t="s">
        <v>89</v>
      </c>
    </row>
    <row r="492" spans="1:27" s="4" customFormat="1" ht="42" customHeight="1">
      <c r="A492" s="5">
        <v>0</v>
      </c>
      <c r="B492" s="6" t="s">
        <v>2975</v>
      </c>
      <c r="C492" s="13">
        <v>814.9</v>
      </c>
      <c r="D492" s="8" t="s">
        <v>2976</v>
      </c>
      <c r="E492" s="8" t="s">
        <v>2977</v>
      </c>
      <c r="F492" s="8" t="s">
        <v>1859</v>
      </c>
      <c r="G492" s="6" t="s">
        <v>37</v>
      </c>
      <c r="H492" s="6" t="s">
        <v>38</v>
      </c>
      <c r="I492" s="8" t="s">
        <v>39</v>
      </c>
      <c r="J492" s="9">
        <v>1</v>
      </c>
      <c r="K492" s="9">
        <v>234</v>
      </c>
      <c r="L492" s="9">
        <v>2020</v>
      </c>
      <c r="M492" s="8" t="s">
        <v>2978</v>
      </c>
      <c r="N492" s="8" t="s">
        <v>41</v>
      </c>
      <c r="O492" s="8" t="s">
        <v>42</v>
      </c>
      <c r="P492" s="6" t="s">
        <v>43</v>
      </c>
      <c r="Q492" s="8" t="s">
        <v>44</v>
      </c>
      <c r="R492" s="10" t="s">
        <v>2979</v>
      </c>
      <c r="S492" s="11"/>
      <c r="T492" s="6"/>
      <c r="U492" s="28" t="str">
        <f>HYPERLINK("https://media.infra-m.ru/1081/1081954/cover/1081954.jpg", "Обложка")</f>
        <v>Обложка</v>
      </c>
      <c r="V492" s="28" t="str">
        <f>HYPERLINK("https://znanium.ru/catalog/product/941251", "Ознакомиться")</f>
        <v>Ознакомиться</v>
      </c>
      <c r="W492" s="8" t="s">
        <v>1786</v>
      </c>
      <c r="X492" s="6"/>
      <c r="Y492" s="6"/>
      <c r="Z492" s="6"/>
      <c r="AA492" s="6" t="s">
        <v>321</v>
      </c>
    </row>
    <row r="493" spans="1:27" s="4" customFormat="1" ht="51.95" customHeight="1">
      <c r="A493" s="5">
        <v>0</v>
      </c>
      <c r="B493" s="6" t="s">
        <v>2980</v>
      </c>
      <c r="C493" s="7">
        <v>1034</v>
      </c>
      <c r="D493" s="8" t="s">
        <v>2981</v>
      </c>
      <c r="E493" s="8" t="s">
        <v>2982</v>
      </c>
      <c r="F493" s="8" t="s">
        <v>1449</v>
      </c>
      <c r="G493" s="6" t="s">
        <v>75</v>
      </c>
      <c r="H493" s="6" t="s">
        <v>132</v>
      </c>
      <c r="I493" s="8" t="s">
        <v>2025</v>
      </c>
      <c r="J493" s="9">
        <v>1</v>
      </c>
      <c r="K493" s="9">
        <v>228</v>
      </c>
      <c r="L493" s="9">
        <v>2023</v>
      </c>
      <c r="M493" s="8" t="s">
        <v>2983</v>
      </c>
      <c r="N493" s="8" t="s">
        <v>41</v>
      </c>
      <c r="O493" s="8" t="s">
        <v>42</v>
      </c>
      <c r="P493" s="6" t="s">
        <v>78</v>
      </c>
      <c r="Q493" s="8" t="s">
        <v>67</v>
      </c>
      <c r="R493" s="10" t="s">
        <v>2984</v>
      </c>
      <c r="S493" s="11"/>
      <c r="T493" s="6"/>
      <c r="U493" s="28" t="str">
        <f>HYPERLINK("https://media.infra-m.ru/2006/2006079/cover/2006079.jpg", "Обложка")</f>
        <v>Обложка</v>
      </c>
      <c r="V493" s="28" t="str">
        <f>HYPERLINK("https://znanium.ru/catalog/product/996151", "Ознакомиться")</f>
        <v>Ознакомиться</v>
      </c>
      <c r="W493" s="8" t="s">
        <v>119</v>
      </c>
      <c r="X493" s="6"/>
      <c r="Y493" s="6"/>
      <c r="Z493" s="6"/>
      <c r="AA493" s="6" t="s">
        <v>82</v>
      </c>
    </row>
    <row r="494" spans="1:27" s="4" customFormat="1" ht="51.95" customHeight="1">
      <c r="A494" s="5">
        <v>0</v>
      </c>
      <c r="B494" s="6" t="s">
        <v>2985</v>
      </c>
      <c r="C494" s="13">
        <v>704.9</v>
      </c>
      <c r="D494" s="8" t="s">
        <v>2986</v>
      </c>
      <c r="E494" s="8" t="s">
        <v>2987</v>
      </c>
      <c r="F494" s="8" t="s">
        <v>2988</v>
      </c>
      <c r="G494" s="6" t="s">
        <v>37</v>
      </c>
      <c r="H494" s="6" t="s">
        <v>38</v>
      </c>
      <c r="I494" s="8"/>
      <c r="J494" s="9">
        <v>1</v>
      </c>
      <c r="K494" s="9">
        <v>180</v>
      </c>
      <c r="L494" s="9">
        <v>2022</v>
      </c>
      <c r="M494" s="8" t="s">
        <v>2989</v>
      </c>
      <c r="N494" s="8" t="s">
        <v>41</v>
      </c>
      <c r="O494" s="8" t="s">
        <v>42</v>
      </c>
      <c r="P494" s="6" t="s">
        <v>43</v>
      </c>
      <c r="Q494" s="8" t="s">
        <v>44</v>
      </c>
      <c r="R494" s="10" t="s">
        <v>1017</v>
      </c>
      <c r="S494" s="11"/>
      <c r="T494" s="6" t="s">
        <v>151</v>
      </c>
      <c r="U494" s="28" t="str">
        <f>HYPERLINK("https://media.infra-m.ru/1081/1081400/cover/1081400.jpg", "Обложка")</f>
        <v>Обложка</v>
      </c>
      <c r="V494" s="28" t="str">
        <f>HYPERLINK("https://znanium.ru/catalog/product/1081400", "Ознакомиться")</f>
        <v>Ознакомиться</v>
      </c>
      <c r="W494" s="8" t="s">
        <v>119</v>
      </c>
      <c r="X494" s="6"/>
      <c r="Y494" s="6"/>
      <c r="Z494" s="6"/>
      <c r="AA494" s="6" t="s">
        <v>321</v>
      </c>
    </row>
    <row r="495" spans="1:27" s="4" customFormat="1" ht="42" customHeight="1">
      <c r="A495" s="5">
        <v>0</v>
      </c>
      <c r="B495" s="6" t="s">
        <v>2990</v>
      </c>
      <c r="C495" s="7">
        <v>1040</v>
      </c>
      <c r="D495" s="8" t="s">
        <v>2991</v>
      </c>
      <c r="E495" s="8" t="s">
        <v>2992</v>
      </c>
      <c r="F495" s="8" t="s">
        <v>2993</v>
      </c>
      <c r="G495" s="6" t="s">
        <v>75</v>
      </c>
      <c r="H495" s="6" t="s">
        <v>352</v>
      </c>
      <c r="I495" s="8"/>
      <c r="J495" s="9">
        <v>1</v>
      </c>
      <c r="K495" s="9">
        <v>224</v>
      </c>
      <c r="L495" s="9">
        <v>2024</v>
      </c>
      <c r="M495" s="8" t="s">
        <v>2994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2236</v>
      </c>
      <c r="S495" s="11"/>
      <c r="T495" s="6"/>
      <c r="U495" s="28" t="str">
        <f>HYPERLINK("https://media.infra-m.ru/2122/2122041/cover/2122041.jpg", "Обложка")</f>
        <v>Обложка</v>
      </c>
      <c r="V495" s="28" t="str">
        <f>HYPERLINK("https://znanium.ru/catalog/product/2122041", "Ознакомиться")</f>
        <v>Ознакомиться</v>
      </c>
      <c r="W495" s="8"/>
      <c r="X495" s="6"/>
      <c r="Y495" s="6"/>
      <c r="Z495" s="6"/>
      <c r="AA495" s="6" t="s">
        <v>688</v>
      </c>
    </row>
    <row r="496" spans="1:27" s="4" customFormat="1" ht="51.95" customHeight="1">
      <c r="A496" s="5">
        <v>0</v>
      </c>
      <c r="B496" s="6" t="s">
        <v>2995</v>
      </c>
      <c r="C496" s="13">
        <v>544</v>
      </c>
      <c r="D496" s="8" t="s">
        <v>2996</v>
      </c>
      <c r="E496" s="8" t="s">
        <v>2997</v>
      </c>
      <c r="F496" s="8" t="s">
        <v>2998</v>
      </c>
      <c r="G496" s="6" t="s">
        <v>53</v>
      </c>
      <c r="H496" s="6" t="s">
        <v>352</v>
      </c>
      <c r="I496" s="8"/>
      <c r="J496" s="9">
        <v>1</v>
      </c>
      <c r="K496" s="9">
        <v>120</v>
      </c>
      <c r="L496" s="9">
        <v>2023</v>
      </c>
      <c r="M496" s="8" t="s">
        <v>2999</v>
      </c>
      <c r="N496" s="8" t="s">
        <v>41</v>
      </c>
      <c r="O496" s="8" t="s">
        <v>42</v>
      </c>
      <c r="P496" s="6" t="s">
        <v>66</v>
      </c>
      <c r="Q496" s="8" t="s">
        <v>141</v>
      </c>
      <c r="R496" s="10" t="s">
        <v>3000</v>
      </c>
      <c r="S496" s="11"/>
      <c r="T496" s="6"/>
      <c r="U496" s="28" t="str">
        <f>HYPERLINK("https://media.infra-m.ru/2006/2006833/cover/2006833.jpg", "Обложка")</f>
        <v>Обложка</v>
      </c>
      <c r="V496" s="28" t="str">
        <f>HYPERLINK("https://znanium.ru/catalog/product/907490", "Ознакомиться")</f>
        <v>Ознакомиться</v>
      </c>
      <c r="W496" s="8" t="s">
        <v>119</v>
      </c>
      <c r="X496" s="6"/>
      <c r="Y496" s="6"/>
      <c r="Z496" s="6"/>
      <c r="AA496" s="6" t="s">
        <v>213</v>
      </c>
    </row>
    <row r="497" spans="1:27" s="4" customFormat="1" ht="51.95" customHeight="1">
      <c r="A497" s="5">
        <v>0</v>
      </c>
      <c r="B497" s="6" t="s">
        <v>3001</v>
      </c>
      <c r="C497" s="7">
        <v>1114</v>
      </c>
      <c r="D497" s="8" t="s">
        <v>3002</v>
      </c>
      <c r="E497" s="8" t="s">
        <v>3003</v>
      </c>
      <c r="F497" s="8" t="s">
        <v>3004</v>
      </c>
      <c r="G497" s="6" t="s">
        <v>37</v>
      </c>
      <c r="H497" s="6" t="s">
        <v>38</v>
      </c>
      <c r="I497" s="8" t="s">
        <v>94</v>
      </c>
      <c r="J497" s="9">
        <v>1</v>
      </c>
      <c r="K497" s="9">
        <v>239</v>
      </c>
      <c r="L497" s="9">
        <v>2024</v>
      </c>
      <c r="M497" s="8" t="s">
        <v>3005</v>
      </c>
      <c r="N497" s="8" t="s">
        <v>41</v>
      </c>
      <c r="O497" s="8" t="s">
        <v>42</v>
      </c>
      <c r="P497" s="6" t="s">
        <v>66</v>
      </c>
      <c r="Q497" s="8" t="s">
        <v>97</v>
      </c>
      <c r="R497" s="10" t="s">
        <v>3006</v>
      </c>
      <c r="S497" s="11" t="s">
        <v>3007</v>
      </c>
      <c r="T497" s="6"/>
      <c r="U497" s="28" t="str">
        <f>HYPERLINK("https://media.infra-m.ru/2117/2117061/cover/2117061.jpg", "Обложка")</f>
        <v>Обложка</v>
      </c>
      <c r="V497" s="12"/>
      <c r="W497" s="8" t="s">
        <v>119</v>
      </c>
      <c r="X497" s="6"/>
      <c r="Y497" s="6"/>
      <c r="Z497" s="6"/>
      <c r="AA497" s="6" t="s">
        <v>101</v>
      </c>
    </row>
    <row r="498" spans="1:27" s="4" customFormat="1" ht="51.95" customHeight="1">
      <c r="A498" s="5">
        <v>0</v>
      </c>
      <c r="B498" s="6" t="s">
        <v>3008</v>
      </c>
      <c r="C498" s="7">
        <v>1244.9000000000001</v>
      </c>
      <c r="D498" s="8" t="s">
        <v>3009</v>
      </c>
      <c r="E498" s="8" t="s">
        <v>3010</v>
      </c>
      <c r="F498" s="8" t="s">
        <v>3011</v>
      </c>
      <c r="G498" s="6" t="s">
        <v>37</v>
      </c>
      <c r="H498" s="6" t="s">
        <v>38</v>
      </c>
      <c r="I498" s="8" t="s">
        <v>76</v>
      </c>
      <c r="J498" s="9">
        <v>1</v>
      </c>
      <c r="K498" s="9">
        <v>277</v>
      </c>
      <c r="L498" s="9">
        <v>2023</v>
      </c>
      <c r="M498" s="8" t="s">
        <v>3012</v>
      </c>
      <c r="N498" s="8" t="s">
        <v>41</v>
      </c>
      <c r="O498" s="8" t="s">
        <v>42</v>
      </c>
      <c r="P498" s="6" t="s">
        <v>66</v>
      </c>
      <c r="Q498" s="8" t="s">
        <v>67</v>
      </c>
      <c r="R498" s="10" t="s">
        <v>687</v>
      </c>
      <c r="S498" s="11" t="s">
        <v>3013</v>
      </c>
      <c r="T498" s="6" t="s">
        <v>151</v>
      </c>
      <c r="U498" s="28" t="str">
        <f>HYPERLINK("https://media.infra-m.ru/1913/1913004/cover/1913004.jpg", "Обложка")</f>
        <v>Обложка</v>
      </c>
      <c r="V498" s="28" t="str">
        <f>HYPERLINK("https://znanium.ru/catalog/product/925824", "Ознакомиться")</f>
        <v>Ознакомиться</v>
      </c>
      <c r="W498" s="8" t="s">
        <v>574</v>
      </c>
      <c r="X498" s="6"/>
      <c r="Y498" s="6"/>
      <c r="Z498" s="6"/>
      <c r="AA498" s="6" t="s">
        <v>89</v>
      </c>
    </row>
    <row r="499" spans="1:27" s="4" customFormat="1" ht="42" customHeight="1">
      <c r="A499" s="5">
        <v>0</v>
      </c>
      <c r="B499" s="6" t="s">
        <v>3014</v>
      </c>
      <c r="C499" s="7">
        <v>1054</v>
      </c>
      <c r="D499" s="8" t="s">
        <v>3015</v>
      </c>
      <c r="E499" s="8" t="s">
        <v>3016</v>
      </c>
      <c r="F499" s="8" t="s">
        <v>3017</v>
      </c>
      <c r="G499" s="6" t="s">
        <v>75</v>
      </c>
      <c r="H499" s="6" t="s">
        <v>38</v>
      </c>
      <c r="I499" s="8" t="s">
        <v>76</v>
      </c>
      <c r="J499" s="9">
        <v>1</v>
      </c>
      <c r="K499" s="9">
        <v>217</v>
      </c>
      <c r="L499" s="9">
        <v>2024</v>
      </c>
      <c r="M499" s="8" t="s">
        <v>3018</v>
      </c>
      <c r="N499" s="8" t="s">
        <v>41</v>
      </c>
      <c r="O499" s="8" t="s">
        <v>42</v>
      </c>
      <c r="P499" s="6" t="s">
        <v>66</v>
      </c>
      <c r="Q499" s="8" t="s">
        <v>67</v>
      </c>
      <c r="R499" s="10" t="s">
        <v>126</v>
      </c>
      <c r="S499" s="11"/>
      <c r="T499" s="6"/>
      <c r="U499" s="28" t="str">
        <f>HYPERLINK("https://media.infra-m.ru/2122/2122926/cover/2122926.jpg", "Обложка")</f>
        <v>Обложка</v>
      </c>
      <c r="V499" s="28" t="str">
        <f>HYPERLINK("https://znanium.ru/catalog/product/1874285", "Ознакомиться")</f>
        <v>Ознакомиться</v>
      </c>
      <c r="W499" s="8" t="s">
        <v>480</v>
      </c>
      <c r="X499" s="6"/>
      <c r="Y499" s="6"/>
      <c r="Z499" s="6"/>
      <c r="AA499" s="6" t="s">
        <v>120</v>
      </c>
    </row>
    <row r="500" spans="1:27" s="4" customFormat="1" ht="51.95" customHeight="1">
      <c r="A500" s="5">
        <v>0</v>
      </c>
      <c r="B500" s="6" t="s">
        <v>3019</v>
      </c>
      <c r="C500" s="7">
        <v>1294.9000000000001</v>
      </c>
      <c r="D500" s="8" t="s">
        <v>3020</v>
      </c>
      <c r="E500" s="8" t="s">
        <v>3021</v>
      </c>
      <c r="F500" s="8" t="s">
        <v>3022</v>
      </c>
      <c r="G500" s="6" t="s">
        <v>37</v>
      </c>
      <c r="H500" s="6" t="s">
        <v>38</v>
      </c>
      <c r="I500" s="8" t="s">
        <v>94</v>
      </c>
      <c r="J500" s="9">
        <v>1</v>
      </c>
      <c r="K500" s="9">
        <v>288</v>
      </c>
      <c r="L500" s="9">
        <v>2023</v>
      </c>
      <c r="M500" s="8" t="s">
        <v>3023</v>
      </c>
      <c r="N500" s="8" t="s">
        <v>41</v>
      </c>
      <c r="O500" s="8" t="s">
        <v>42</v>
      </c>
      <c r="P500" s="6" t="s">
        <v>66</v>
      </c>
      <c r="Q500" s="8" t="s">
        <v>97</v>
      </c>
      <c r="R500" s="10" t="s">
        <v>486</v>
      </c>
      <c r="S500" s="11" t="s">
        <v>3024</v>
      </c>
      <c r="T500" s="6"/>
      <c r="U500" s="28" t="str">
        <f>HYPERLINK("https://media.infra-m.ru/1981/1981632/cover/1981632.jpg", "Обложка")</f>
        <v>Обложка</v>
      </c>
      <c r="V500" s="28" t="str">
        <f>HYPERLINK("https://znanium.ru/catalog/product/1181037", "Ознакомиться")</f>
        <v>Ознакомиться</v>
      </c>
      <c r="W500" s="8" t="s">
        <v>3025</v>
      </c>
      <c r="X500" s="6"/>
      <c r="Y500" s="6"/>
      <c r="Z500" s="6"/>
      <c r="AA500" s="6" t="s">
        <v>101</v>
      </c>
    </row>
    <row r="501" spans="1:27" s="4" customFormat="1" ht="42" customHeight="1">
      <c r="A501" s="5">
        <v>0</v>
      </c>
      <c r="B501" s="6" t="s">
        <v>3026</v>
      </c>
      <c r="C501" s="13">
        <v>550</v>
      </c>
      <c r="D501" s="8" t="s">
        <v>3027</v>
      </c>
      <c r="E501" s="8" t="s">
        <v>3028</v>
      </c>
      <c r="F501" s="8" t="s">
        <v>3029</v>
      </c>
      <c r="G501" s="6" t="s">
        <v>53</v>
      </c>
      <c r="H501" s="6" t="s">
        <v>38</v>
      </c>
      <c r="I501" s="8" t="s">
        <v>39</v>
      </c>
      <c r="J501" s="9">
        <v>1</v>
      </c>
      <c r="K501" s="9">
        <v>108</v>
      </c>
      <c r="L501" s="9">
        <v>2023</v>
      </c>
      <c r="M501" s="8" t="s">
        <v>3030</v>
      </c>
      <c r="N501" s="8" t="s">
        <v>41</v>
      </c>
      <c r="O501" s="8" t="s">
        <v>42</v>
      </c>
      <c r="P501" s="6" t="s">
        <v>43</v>
      </c>
      <c r="Q501" s="8" t="s">
        <v>44</v>
      </c>
      <c r="R501" s="10" t="s">
        <v>426</v>
      </c>
      <c r="S501" s="11"/>
      <c r="T501" s="6"/>
      <c r="U501" s="28" t="str">
        <f>HYPERLINK("https://media.infra-m.ru/1911/1911193/cover/1911193.jpg", "Обложка")</f>
        <v>Обложка</v>
      </c>
      <c r="V501" s="28" t="str">
        <f>HYPERLINK("https://znanium.ru/catalog/product/1911193", "Ознакомиться")</f>
        <v>Ознакомиться</v>
      </c>
      <c r="W501" s="8" t="s">
        <v>46</v>
      </c>
      <c r="X501" s="6"/>
      <c r="Y501" s="6"/>
      <c r="Z501" s="6"/>
      <c r="AA501" s="6" t="s">
        <v>59</v>
      </c>
    </row>
    <row r="502" spans="1:27" s="4" customFormat="1" ht="51.95" customHeight="1">
      <c r="A502" s="5">
        <v>0</v>
      </c>
      <c r="B502" s="6" t="s">
        <v>3031</v>
      </c>
      <c r="C502" s="7">
        <v>1274.9000000000001</v>
      </c>
      <c r="D502" s="8" t="s">
        <v>3032</v>
      </c>
      <c r="E502" s="8" t="s">
        <v>3033</v>
      </c>
      <c r="F502" s="8" t="s">
        <v>3034</v>
      </c>
      <c r="G502" s="6" t="s">
        <v>37</v>
      </c>
      <c r="H502" s="6" t="s">
        <v>38</v>
      </c>
      <c r="I502" s="8" t="s">
        <v>76</v>
      </c>
      <c r="J502" s="9">
        <v>1</v>
      </c>
      <c r="K502" s="9">
        <v>336</v>
      </c>
      <c r="L502" s="9">
        <v>2022</v>
      </c>
      <c r="M502" s="8" t="s">
        <v>3035</v>
      </c>
      <c r="N502" s="8" t="s">
        <v>41</v>
      </c>
      <c r="O502" s="8" t="s">
        <v>42</v>
      </c>
      <c r="P502" s="6" t="s">
        <v>78</v>
      </c>
      <c r="Q502" s="8" t="s">
        <v>97</v>
      </c>
      <c r="R502" s="10" t="s">
        <v>3036</v>
      </c>
      <c r="S502" s="11" t="s">
        <v>3037</v>
      </c>
      <c r="T502" s="6" t="s">
        <v>151</v>
      </c>
      <c r="U502" s="28" t="str">
        <f>HYPERLINK("https://media.infra-m.ru/1844/1844316/cover/1844316.jpg", "Обложка")</f>
        <v>Обложка</v>
      </c>
      <c r="V502" s="28" t="str">
        <f>HYPERLINK("https://znanium.ru/catalog/product/1844316", "Ознакомиться")</f>
        <v>Ознакомиться</v>
      </c>
      <c r="W502" s="8" t="s">
        <v>3038</v>
      </c>
      <c r="X502" s="6"/>
      <c r="Y502" s="6"/>
      <c r="Z502" s="6"/>
      <c r="AA502" s="6" t="s">
        <v>59</v>
      </c>
    </row>
    <row r="503" spans="1:27" s="4" customFormat="1" ht="42" customHeight="1">
      <c r="A503" s="5">
        <v>0</v>
      </c>
      <c r="B503" s="6" t="s">
        <v>3039</v>
      </c>
      <c r="C503" s="13">
        <v>784.9</v>
      </c>
      <c r="D503" s="8" t="s">
        <v>3040</v>
      </c>
      <c r="E503" s="8" t="s">
        <v>3041</v>
      </c>
      <c r="F503" s="8" t="s">
        <v>3042</v>
      </c>
      <c r="G503" s="6" t="s">
        <v>53</v>
      </c>
      <c r="H503" s="6" t="s">
        <v>38</v>
      </c>
      <c r="I503" s="8" t="s">
        <v>39</v>
      </c>
      <c r="J503" s="9">
        <v>1</v>
      </c>
      <c r="K503" s="9">
        <v>202</v>
      </c>
      <c r="L503" s="9">
        <v>2022</v>
      </c>
      <c r="M503" s="8" t="s">
        <v>3043</v>
      </c>
      <c r="N503" s="8" t="s">
        <v>41</v>
      </c>
      <c r="O503" s="8" t="s">
        <v>42</v>
      </c>
      <c r="P503" s="6" t="s">
        <v>43</v>
      </c>
      <c r="Q503" s="8" t="s">
        <v>44</v>
      </c>
      <c r="R503" s="10" t="s">
        <v>426</v>
      </c>
      <c r="S503" s="11"/>
      <c r="T503" s="6" t="s">
        <v>151</v>
      </c>
      <c r="U503" s="28" t="str">
        <f>HYPERLINK("https://media.infra-m.ru/1851/1851535/cover/1851535.jpg", "Обложка")</f>
        <v>Обложка</v>
      </c>
      <c r="V503" s="28" t="str">
        <f>HYPERLINK("https://znanium.ru/catalog/product/1851535", "Ознакомиться")</f>
        <v>Ознакомиться</v>
      </c>
      <c r="W503" s="8"/>
      <c r="X503" s="6"/>
      <c r="Y503" s="6"/>
      <c r="Z503" s="6"/>
      <c r="AA503" s="6" t="s">
        <v>101</v>
      </c>
    </row>
    <row r="504" spans="1:27" s="4" customFormat="1" ht="51.95" customHeight="1">
      <c r="A504" s="5">
        <v>0</v>
      </c>
      <c r="B504" s="6" t="s">
        <v>3044</v>
      </c>
      <c r="C504" s="13">
        <v>804</v>
      </c>
      <c r="D504" s="8" t="s">
        <v>3045</v>
      </c>
      <c r="E504" s="8" t="s">
        <v>3046</v>
      </c>
      <c r="F504" s="8" t="s">
        <v>3047</v>
      </c>
      <c r="G504" s="6" t="s">
        <v>53</v>
      </c>
      <c r="H504" s="6" t="s">
        <v>352</v>
      </c>
      <c r="I504" s="8"/>
      <c r="J504" s="9">
        <v>1</v>
      </c>
      <c r="K504" s="9">
        <v>176</v>
      </c>
      <c r="L504" s="9">
        <v>2024</v>
      </c>
      <c r="M504" s="8" t="s">
        <v>3048</v>
      </c>
      <c r="N504" s="8" t="s">
        <v>41</v>
      </c>
      <c r="O504" s="8" t="s">
        <v>96</v>
      </c>
      <c r="P504" s="6" t="s">
        <v>43</v>
      </c>
      <c r="Q504" s="8" t="s">
        <v>471</v>
      </c>
      <c r="R504" s="10" t="s">
        <v>3049</v>
      </c>
      <c r="S504" s="11"/>
      <c r="T504" s="6" t="s">
        <v>151</v>
      </c>
      <c r="U504" s="28" t="str">
        <f>HYPERLINK("https://media.infra-m.ru/2087/2087313/cover/2087313.jpg", "Обложка")</f>
        <v>Обложка</v>
      </c>
      <c r="V504" s="28" t="str">
        <f>HYPERLINK("https://znanium.ru/catalog/product/1740738", "Ознакомиться")</f>
        <v>Ознакомиться</v>
      </c>
      <c r="W504" s="8" t="s">
        <v>46</v>
      </c>
      <c r="X504" s="6"/>
      <c r="Y504" s="6"/>
      <c r="Z504" s="6"/>
      <c r="AA504" s="6" t="s">
        <v>321</v>
      </c>
    </row>
    <row r="505" spans="1:27" s="4" customFormat="1" ht="51.95" customHeight="1">
      <c r="A505" s="5">
        <v>0</v>
      </c>
      <c r="B505" s="6" t="s">
        <v>3050</v>
      </c>
      <c r="C505" s="7">
        <v>1320</v>
      </c>
      <c r="D505" s="8" t="s">
        <v>3051</v>
      </c>
      <c r="E505" s="8" t="s">
        <v>3052</v>
      </c>
      <c r="F505" s="8" t="s">
        <v>3053</v>
      </c>
      <c r="G505" s="6" t="s">
        <v>53</v>
      </c>
      <c r="H505" s="6" t="s">
        <v>54</v>
      </c>
      <c r="I505" s="8" t="s">
        <v>39</v>
      </c>
      <c r="J505" s="9">
        <v>1</v>
      </c>
      <c r="K505" s="9">
        <v>346</v>
      </c>
      <c r="L505" s="9">
        <v>2022</v>
      </c>
      <c r="M505" s="8" t="s">
        <v>3054</v>
      </c>
      <c r="N505" s="8" t="s">
        <v>41</v>
      </c>
      <c r="O505" s="8" t="s">
        <v>42</v>
      </c>
      <c r="P505" s="6" t="s">
        <v>43</v>
      </c>
      <c r="Q505" s="8" t="s">
        <v>44</v>
      </c>
      <c r="R505" s="10" t="s">
        <v>3055</v>
      </c>
      <c r="S505" s="11"/>
      <c r="T505" s="6" t="s">
        <v>151</v>
      </c>
      <c r="U505" s="28" t="str">
        <f>HYPERLINK("https://media.infra-m.ru/1839/1839914/cover/1839914.jpg", "Обложка")</f>
        <v>Обложка</v>
      </c>
      <c r="V505" s="28" t="str">
        <f>HYPERLINK("https://znanium.ru/catalog/product/1839914", "Ознакомиться")</f>
        <v>Ознакомиться</v>
      </c>
      <c r="W505" s="8" t="s">
        <v>3056</v>
      </c>
      <c r="X505" s="6"/>
      <c r="Y505" s="6"/>
      <c r="Z505" s="6"/>
      <c r="AA505" s="6" t="s">
        <v>213</v>
      </c>
    </row>
    <row r="506" spans="1:27" s="4" customFormat="1" ht="42" customHeight="1">
      <c r="A506" s="5">
        <v>0</v>
      </c>
      <c r="B506" s="6" t="s">
        <v>3057</v>
      </c>
      <c r="C506" s="13">
        <v>860</v>
      </c>
      <c r="D506" s="8" t="s">
        <v>3058</v>
      </c>
      <c r="E506" s="8" t="s">
        <v>3059</v>
      </c>
      <c r="F506" s="8" t="s">
        <v>1551</v>
      </c>
      <c r="G506" s="6" t="s">
        <v>53</v>
      </c>
      <c r="H506" s="6" t="s">
        <v>38</v>
      </c>
      <c r="I506" s="8" t="s">
        <v>39</v>
      </c>
      <c r="J506" s="9">
        <v>1</v>
      </c>
      <c r="K506" s="9">
        <v>218</v>
      </c>
      <c r="L506" s="9">
        <v>2021</v>
      </c>
      <c r="M506" s="8" t="s">
        <v>3060</v>
      </c>
      <c r="N506" s="8" t="s">
        <v>41</v>
      </c>
      <c r="O506" s="8" t="s">
        <v>96</v>
      </c>
      <c r="P506" s="6" t="s">
        <v>43</v>
      </c>
      <c r="Q506" s="8" t="s">
        <v>44</v>
      </c>
      <c r="R506" s="10" t="s">
        <v>1275</v>
      </c>
      <c r="S506" s="11"/>
      <c r="T506" s="6" t="s">
        <v>151</v>
      </c>
      <c r="U506" s="28" t="str">
        <f>HYPERLINK("https://media.infra-m.ru/1064/1064905/cover/1064905.jpg", "Обложка")</f>
        <v>Обложка</v>
      </c>
      <c r="V506" s="28" t="str">
        <f>HYPERLINK("https://znanium.ru/catalog/product/1064905", "Ознакомиться")</f>
        <v>Ознакомиться</v>
      </c>
      <c r="W506" s="8" t="s">
        <v>1477</v>
      </c>
      <c r="X506" s="6"/>
      <c r="Y506" s="6"/>
      <c r="Z506" s="6"/>
      <c r="AA506" s="6" t="s">
        <v>70</v>
      </c>
    </row>
    <row r="507" spans="1:27" s="4" customFormat="1" ht="42" customHeight="1">
      <c r="A507" s="5">
        <v>0</v>
      </c>
      <c r="B507" s="6" t="s">
        <v>3061</v>
      </c>
      <c r="C507" s="7">
        <v>2070</v>
      </c>
      <c r="D507" s="8" t="s">
        <v>3062</v>
      </c>
      <c r="E507" s="8" t="s">
        <v>3063</v>
      </c>
      <c r="F507" s="8" t="s">
        <v>3064</v>
      </c>
      <c r="G507" s="6" t="s">
        <v>75</v>
      </c>
      <c r="H507" s="6" t="s">
        <v>64</v>
      </c>
      <c r="I507" s="8"/>
      <c r="J507" s="9">
        <v>1</v>
      </c>
      <c r="K507" s="9">
        <v>576</v>
      </c>
      <c r="L507" s="9">
        <v>2021</v>
      </c>
      <c r="M507" s="8" t="s">
        <v>3065</v>
      </c>
      <c r="N507" s="8" t="s">
        <v>41</v>
      </c>
      <c r="O507" s="8" t="s">
        <v>56</v>
      </c>
      <c r="P507" s="6" t="s">
        <v>43</v>
      </c>
      <c r="Q507" s="8" t="s">
        <v>44</v>
      </c>
      <c r="R507" s="10" t="s">
        <v>68</v>
      </c>
      <c r="S507" s="11"/>
      <c r="T507" s="6"/>
      <c r="U507" s="28" t="str">
        <f>HYPERLINK("https://media.infra-m.ru/1227/1227192/cover/1227192.jpg", "Обложка")</f>
        <v>Обложка</v>
      </c>
      <c r="V507" s="28" t="str">
        <f>HYPERLINK("https://znanium.ru/catalog/product/1227192", "Ознакомиться")</f>
        <v>Ознакомиться</v>
      </c>
      <c r="W507" s="8" t="s">
        <v>1786</v>
      </c>
      <c r="X507" s="6"/>
      <c r="Y507" s="6"/>
      <c r="Z507" s="6"/>
      <c r="AA507" s="6" t="s">
        <v>258</v>
      </c>
    </row>
    <row r="508" spans="1:27" s="4" customFormat="1" ht="51.95" customHeight="1">
      <c r="A508" s="5">
        <v>0</v>
      </c>
      <c r="B508" s="6" t="s">
        <v>3066</v>
      </c>
      <c r="C508" s="13">
        <v>794.9</v>
      </c>
      <c r="D508" s="8" t="s">
        <v>3067</v>
      </c>
      <c r="E508" s="8" t="s">
        <v>3068</v>
      </c>
      <c r="F508" s="8" t="s">
        <v>3069</v>
      </c>
      <c r="G508" s="6" t="s">
        <v>75</v>
      </c>
      <c r="H508" s="6" t="s">
        <v>64</v>
      </c>
      <c r="I508" s="8"/>
      <c r="J508" s="9">
        <v>1</v>
      </c>
      <c r="K508" s="9">
        <v>176</v>
      </c>
      <c r="L508" s="9">
        <v>2023</v>
      </c>
      <c r="M508" s="8" t="s">
        <v>3070</v>
      </c>
      <c r="N508" s="8" t="s">
        <v>41</v>
      </c>
      <c r="O508" s="8" t="s">
        <v>56</v>
      </c>
      <c r="P508" s="6" t="s">
        <v>66</v>
      </c>
      <c r="Q508" s="8" t="s">
        <v>67</v>
      </c>
      <c r="R508" s="10" t="s">
        <v>411</v>
      </c>
      <c r="S508" s="11"/>
      <c r="T508" s="6"/>
      <c r="U508" s="28" t="str">
        <f>HYPERLINK("https://media.infra-m.ru/2006/2006933/cover/2006933.jpg", "Обложка")</f>
        <v>Обложка</v>
      </c>
      <c r="V508" s="28" t="str">
        <f>HYPERLINK("https://znanium.ru/catalog/product/1201974", "Ознакомиться")</f>
        <v>Ознакомиться</v>
      </c>
      <c r="W508" s="8" t="s">
        <v>69</v>
      </c>
      <c r="X508" s="6"/>
      <c r="Y508" s="6"/>
      <c r="Z508" s="6"/>
      <c r="AA508" s="6" t="s">
        <v>445</v>
      </c>
    </row>
    <row r="509" spans="1:27" s="4" customFormat="1" ht="51.95" customHeight="1">
      <c r="A509" s="5">
        <v>0</v>
      </c>
      <c r="B509" s="6" t="s">
        <v>3071</v>
      </c>
      <c r="C509" s="13">
        <v>500</v>
      </c>
      <c r="D509" s="8" t="s">
        <v>3072</v>
      </c>
      <c r="E509" s="8" t="s">
        <v>3073</v>
      </c>
      <c r="F509" s="8" t="s">
        <v>3069</v>
      </c>
      <c r="G509" s="6" t="s">
        <v>37</v>
      </c>
      <c r="H509" s="6" t="s">
        <v>64</v>
      </c>
      <c r="I509" s="8"/>
      <c r="J509" s="9">
        <v>1</v>
      </c>
      <c r="K509" s="9">
        <v>160</v>
      </c>
      <c r="L509" s="9">
        <v>2018</v>
      </c>
      <c r="M509" s="8" t="s">
        <v>3074</v>
      </c>
      <c r="N509" s="8" t="s">
        <v>41</v>
      </c>
      <c r="O509" s="8" t="s">
        <v>56</v>
      </c>
      <c r="P509" s="6" t="s">
        <v>66</v>
      </c>
      <c r="Q509" s="8" t="s">
        <v>67</v>
      </c>
      <c r="R509" s="10" t="s">
        <v>411</v>
      </c>
      <c r="S509" s="11"/>
      <c r="T509" s="6"/>
      <c r="U509" s="28" t="str">
        <f>HYPERLINK("https://media.infra-m.ru/0948/0948181/cover/948181.jpg", "Обложка")</f>
        <v>Обложка</v>
      </c>
      <c r="V509" s="28" t="str">
        <f>HYPERLINK("https://znanium.ru/catalog/product/1201974", "Ознакомиться")</f>
        <v>Ознакомиться</v>
      </c>
      <c r="W509" s="8" t="s">
        <v>69</v>
      </c>
      <c r="X509" s="6"/>
      <c r="Y509" s="6"/>
      <c r="Z509" s="6"/>
      <c r="AA509" s="6" t="s">
        <v>82</v>
      </c>
    </row>
    <row r="510" spans="1:27" s="4" customFormat="1" ht="42" customHeight="1">
      <c r="A510" s="5">
        <v>0</v>
      </c>
      <c r="B510" s="6" t="s">
        <v>3075</v>
      </c>
      <c r="C510" s="7">
        <v>1274</v>
      </c>
      <c r="D510" s="8" t="s">
        <v>3076</v>
      </c>
      <c r="E510" s="8" t="s">
        <v>3077</v>
      </c>
      <c r="F510" s="8" t="s">
        <v>3078</v>
      </c>
      <c r="G510" s="6" t="s">
        <v>75</v>
      </c>
      <c r="H510" s="6" t="s">
        <v>64</v>
      </c>
      <c r="I510" s="8"/>
      <c r="J510" s="9">
        <v>1</v>
      </c>
      <c r="K510" s="9">
        <v>272</v>
      </c>
      <c r="L510" s="9">
        <v>2024</v>
      </c>
      <c r="M510" s="8" t="s">
        <v>3079</v>
      </c>
      <c r="N510" s="8" t="s">
        <v>41</v>
      </c>
      <c r="O510" s="8" t="s">
        <v>56</v>
      </c>
      <c r="P510" s="6" t="s">
        <v>43</v>
      </c>
      <c r="Q510" s="8" t="s">
        <v>44</v>
      </c>
      <c r="R510" s="10" t="s">
        <v>1491</v>
      </c>
      <c r="S510" s="11"/>
      <c r="T510" s="6"/>
      <c r="U510" s="28" t="str">
        <f>HYPERLINK("https://media.infra-m.ru/2132/2132305/cover/2132305.jpg", "Обложка")</f>
        <v>Обложка</v>
      </c>
      <c r="V510" s="28" t="str">
        <f>HYPERLINK("https://znanium.ru/catalog/product/1859983", "Ознакомиться")</f>
        <v>Ознакомиться</v>
      </c>
      <c r="W510" s="8" t="s">
        <v>1643</v>
      </c>
      <c r="X510" s="6"/>
      <c r="Y510" s="6"/>
      <c r="Z510" s="6"/>
      <c r="AA510" s="6" t="s">
        <v>405</v>
      </c>
    </row>
    <row r="511" spans="1:27" s="4" customFormat="1" ht="51.95" customHeight="1">
      <c r="A511" s="5">
        <v>0</v>
      </c>
      <c r="B511" s="6" t="s">
        <v>3080</v>
      </c>
      <c r="C511" s="13">
        <v>914.9</v>
      </c>
      <c r="D511" s="8" t="s">
        <v>3081</v>
      </c>
      <c r="E511" s="8" t="s">
        <v>3082</v>
      </c>
      <c r="F511" s="8" t="s">
        <v>419</v>
      </c>
      <c r="G511" s="6" t="s">
        <v>37</v>
      </c>
      <c r="H511" s="6" t="s">
        <v>38</v>
      </c>
      <c r="I511" s="8" t="s">
        <v>199</v>
      </c>
      <c r="J511" s="9">
        <v>1</v>
      </c>
      <c r="K511" s="9">
        <v>204</v>
      </c>
      <c r="L511" s="9">
        <v>2023</v>
      </c>
      <c r="M511" s="8" t="s">
        <v>3083</v>
      </c>
      <c r="N511" s="8" t="s">
        <v>41</v>
      </c>
      <c r="O511" s="8" t="s">
        <v>42</v>
      </c>
      <c r="P511" s="6" t="s">
        <v>78</v>
      </c>
      <c r="Q511" s="8" t="s">
        <v>201</v>
      </c>
      <c r="R511" s="10" t="s">
        <v>3084</v>
      </c>
      <c r="S511" s="11" t="s">
        <v>3085</v>
      </c>
      <c r="T511" s="6"/>
      <c r="U511" s="28" t="str">
        <f>HYPERLINK("https://media.infra-m.ru/1976/1976141/cover/1976141.jpg", "Обложка")</f>
        <v>Обложка</v>
      </c>
      <c r="V511" s="28" t="str">
        <f>HYPERLINK("https://znanium.ru/catalog/product/1020430", "Ознакомиться")</f>
        <v>Ознакомиться</v>
      </c>
      <c r="W511" s="8" t="s">
        <v>109</v>
      </c>
      <c r="X511" s="6"/>
      <c r="Y511" s="6"/>
      <c r="Z511" s="6"/>
      <c r="AA511" s="6" t="s">
        <v>405</v>
      </c>
    </row>
    <row r="512" spans="1:27" s="4" customFormat="1" ht="44.1" customHeight="1">
      <c r="A512" s="5">
        <v>0</v>
      </c>
      <c r="B512" s="6" t="s">
        <v>3086</v>
      </c>
      <c r="C512" s="13">
        <v>800</v>
      </c>
      <c r="D512" s="8" t="s">
        <v>3087</v>
      </c>
      <c r="E512" s="8" t="s">
        <v>3088</v>
      </c>
      <c r="F512" s="8" t="s">
        <v>3089</v>
      </c>
      <c r="G512" s="6" t="s">
        <v>53</v>
      </c>
      <c r="H512" s="6" t="s">
        <v>38</v>
      </c>
      <c r="I512" s="8" t="s">
        <v>39</v>
      </c>
      <c r="J512" s="9">
        <v>1</v>
      </c>
      <c r="K512" s="9">
        <v>213</v>
      </c>
      <c r="L512" s="9">
        <v>2021</v>
      </c>
      <c r="M512" s="8" t="s">
        <v>3090</v>
      </c>
      <c r="N512" s="8" t="s">
        <v>41</v>
      </c>
      <c r="O512" s="8" t="s">
        <v>42</v>
      </c>
      <c r="P512" s="6" t="s">
        <v>43</v>
      </c>
      <c r="Q512" s="8" t="s">
        <v>44</v>
      </c>
      <c r="R512" s="10" t="s">
        <v>2236</v>
      </c>
      <c r="S512" s="11"/>
      <c r="T512" s="6"/>
      <c r="U512" s="28" t="str">
        <f>HYPERLINK("https://media.infra-m.ru/1080/1080624/cover/1080624.jpg", "Обложка")</f>
        <v>Обложка</v>
      </c>
      <c r="V512" s="28" t="str">
        <f>HYPERLINK("https://znanium.ru/catalog/product/1080624", "Ознакомиться")</f>
        <v>Ознакомиться</v>
      </c>
      <c r="W512" s="8" t="s">
        <v>574</v>
      </c>
      <c r="X512" s="6"/>
      <c r="Y512" s="6"/>
      <c r="Z512" s="6"/>
      <c r="AA512" s="6" t="s">
        <v>405</v>
      </c>
    </row>
    <row r="513" spans="1:27" s="4" customFormat="1" ht="42" customHeight="1">
      <c r="A513" s="5">
        <v>0</v>
      </c>
      <c r="B513" s="6" t="s">
        <v>3091</v>
      </c>
      <c r="C513" s="7">
        <v>1424</v>
      </c>
      <c r="D513" s="8" t="s">
        <v>3092</v>
      </c>
      <c r="E513" s="8" t="s">
        <v>3093</v>
      </c>
      <c r="F513" s="8" t="s">
        <v>1113</v>
      </c>
      <c r="G513" s="6" t="s">
        <v>75</v>
      </c>
      <c r="H513" s="6" t="s">
        <v>38</v>
      </c>
      <c r="I513" s="8" t="s">
        <v>39</v>
      </c>
      <c r="J513" s="9">
        <v>1</v>
      </c>
      <c r="K513" s="9">
        <v>315</v>
      </c>
      <c r="L513" s="9">
        <v>2023</v>
      </c>
      <c r="M513" s="8" t="s">
        <v>3094</v>
      </c>
      <c r="N513" s="8" t="s">
        <v>41</v>
      </c>
      <c r="O513" s="8" t="s">
        <v>56</v>
      </c>
      <c r="P513" s="6" t="s">
        <v>43</v>
      </c>
      <c r="Q513" s="8" t="s">
        <v>44</v>
      </c>
      <c r="R513" s="10" t="s">
        <v>2666</v>
      </c>
      <c r="S513" s="11"/>
      <c r="T513" s="6"/>
      <c r="U513" s="28" t="str">
        <f>HYPERLINK("https://media.infra-m.ru/2006/2006063/cover/2006063.jpg", "Обложка")</f>
        <v>Обложка</v>
      </c>
      <c r="V513" s="28" t="str">
        <f>HYPERLINK("https://znanium.ru/catalog/product/983164", "Ознакомиться")</f>
        <v>Ознакомиться</v>
      </c>
      <c r="W513" s="8" t="s">
        <v>1118</v>
      </c>
      <c r="X513" s="6"/>
      <c r="Y513" s="6"/>
      <c r="Z513" s="6"/>
      <c r="AA513" s="6" t="s">
        <v>82</v>
      </c>
    </row>
    <row r="514" spans="1:27" s="4" customFormat="1" ht="51.95" customHeight="1">
      <c r="A514" s="5">
        <v>0</v>
      </c>
      <c r="B514" s="6" t="s">
        <v>3095</v>
      </c>
      <c r="C514" s="13">
        <v>990</v>
      </c>
      <c r="D514" s="8" t="s">
        <v>3096</v>
      </c>
      <c r="E514" s="8" t="s">
        <v>3097</v>
      </c>
      <c r="F514" s="8" t="s">
        <v>3098</v>
      </c>
      <c r="G514" s="6" t="s">
        <v>37</v>
      </c>
      <c r="H514" s="6" t="s">
        <v>38</v>
      </c>
      <c r="I514" s="8" t="s">
        <v>39</v>
      </c>
      <c r="J514" s="9">
        <v>1</v>
      </c>
      <c r="K514" s="9">
        <v>198</v>
      </c>
      <c r="L514" s="9">
        <v>2024</v>
      </c>
      <c r="M514" s="8" t="s">
        <v>3099</v>
      </c>
      <c r="N514" s="8" t="s">
        <v>41</v>
      </c>
      <c r="O514" s="8" t="s">
        <v>42</v>
      </c>
      <c r="P514" s="6" t="s">
        <v>43</v>
      </c>
      <c r="Q514" s="8" t="s">
        <v>44</v>
      </c>
      <c r="R514" s="10" t="s">
        <v>3100</v>
      </c>
      <c r="S514" s="11"/>
      <c r="T514" s="6"/>
      <c r="U514" s="28" t="str">
        <f>HYPERLINK("https://media.infra-m.ru/2124/2124803/cover/2124803.jpg", "Обложка")</f>
        <v>Обложка</v>
      </c>
      <c r="V514" s="28" t="str">
        <f>HYPERLINK("https://znanium.ru/catalog/product/2124803", "Ознакомиться")</f>
        <v>Ознакомиться</v>
      </c>
      <c r="W514" s="8" t="s">
        <v>3101</v>
      </c>
      <c r="X514" s="6" t="s">
        <v>320</v>
      </c>
      <c r="Y514" s="6"/>
      <c r="Z514" s="6"/>
      <c r="AA514" s="6" t="s">
        <v>48</v>
      </c>
    </row>
    <row r="515" spans="1:27" s="4" customFormat="1" ht="51.95" customHeight="1">
      <c r="A515" s="5">
        <v>0</v>
      </c>
      <c r="B515" s="6" t="s">
        <v>3102</v>
      </c>
      <c r="C515" s="7">
        <v>1654</v>
      </c>
      <c r="D515" s="8" t="s">
        <v>3103</v>
      </c>
      <c r="E515" s="8" t="s">
        <v>3104</v>
      </c>
      <c r="F515" s="8" t="s">
        <v>3105</v>
      </c>
      <c r="G515" s="6" t="s">
        <v>37</v>
      </c>
      <c r="H515" s="6" t="s">
        <v>333</v>
      </c>
      <c r="I515" s="8" t="s">
        <v>334</v>
      </c>
      <c r="J515" s="9">
        <v>1</v>
      </c>
      <c r="K515" s="9">
        <v>352</v>
      </c>
      <c r="L515" s="9">
        <v>2024</v>
      </c>
      <c r="M515" s="8" t="s">
        <v>3106</v>
      </c>
      <c r="N515" s="8" t="s">
        <v>41</v>
      </c>
      <c r="O515" s="8" t="s">
        <v>42</v>
      </c>
      <c r="P515" s="6" t="s">
        <v>66</v>
      </c>
      <c r="Q515" s="8" t="s">
        <v>201</v>
      </c>
      <c r="R515" s="10" t="s">
        <v>202</v>
      </c>
      <c r="S515" s="11" t="s">
        <v>3107</v>
      </c>
      <c r="T515" s="6"/>
      <c r="U515" s="28" t="str">
        <f>HYPERLINK("https://media.infra-m.ru/2145/2145081/cover/2145081.jpg", "Обложка")</f>
        <v>Обложка</v>
      </c>
      <c r="V515" s="28" t="str">
        <f>HYPERLINK("https://znanium.ru/catalog/product/1815605", "Ознакомиться")</f>
        <v>Ознакомиться</v>
      </c>
      <c r="W515" s="8" t="s">
        <v>328</v>
      </c>
      <c r="X515" s="6"/>
      <c r="Y515" s="6"/>
      <c r="Z515" s="6"/>
      <c r="AA515" s="6" t="s">
        <v>372</v>
      </c>
    </row>
    <row r="516" spans="1:27" s="4" customFormat="1" ht="51.95" customHeight="1">
      <c r="A516" s="5">
        <v>0</v>
      </c>
      <c r="B516" s="6" t="s">
        <v>3108</v>
      </c>
      <c r="C516" s="7">
        <v>1494</v>
      </c>
      <c r="D516" s="8" t="s">
        <v>3109</v>
      </c>
      <c r="E516" s="8" t="s">
        <v>3110</v>
      </c>
      <c r="F516" s="8" t="s">
        <v>3111</v>
      </c>
      <c r="G516" s="6" t="s">
        <v>37</v>
      </c>
      <c r="H516" s="6" t="s">
        <v>38</v>
      </c>
      <c r="I516" s="8" t="s">
        <v>94</v>
      </c>
      <c r="J516" s="9">
        <v>1</v>
      </c>
      <c r="K516" s="9">
        <v>326</v>
      </c>
      <c r="L516" s="9">
        <v>2022</v>
      </c>
      <c r="M516" s="8" t="s">
        <v>3112</v>
      </c>
      <c r="N516" s="8" t="s">
        <v>41</v>
      </c>
      <c r="O516" s="8" t="s">
        <v>42</v>
      </c>
      <c r="P516" s="6" t="s">
        <v>66</v>
      </c>
      <c r="Q516" s="8" t="s">
        <v>97</v>
      </c>
      <c r="R516" s="10" t="s">
        <v>625</v>
      </c>
      <c r="S516" s="11" t="s">
        <v>779</v>
      </c>
      <c r="T516" s="6"/>
      <c r="U516" s="28" t="str">
        <f>HYPERLINK("https://media.infra-m.ru/1850/1850640/cover/1850640.jpg", "Обложка")</f>
        <v>Обложка</v>
      </c>
      <c r="V516" s="28" t="str">
        <f>HYPERLINK("https://znanium.ru/catalog/product/1850640", "Ознакомиться")</f>
        <v>Ознакомиться</v>
      </c>
      <c r="W516" s="8" t="s">
        <v>166</v>
      </c>
      <c r="X516" s="6"/>
      <c r="Y516" s="6"/>
      <c r="Z516" s="6"/>
      <c r="AA516" s="6" t="s">
        <v>928</v>
      </c>
    </row>
    <row r="517" spans="1:27" s="4" customFormat="1" ht="51.95" customHeight="1">
      <c r="A517" s="5">
        <v>0</v>
      </c>
      <c r="B517" s="6" t="s">
        <v>3113</v>
      </c>
      <c r="C517" s="7">
        <v>1764</v>
      </c>
      <c r="D517" s="8" t="s">
        <v>3114</v>
      </c>
      <c r="E517" s="8" t="s">
        <v>3115</v>
      </c>
      <c r="F517" s="8" t="s">
        <v>3116</v>
      </c>
      <c r="G517" s="6" t="s">
        <v>37</v>
      </c>
      <c r="H517" s="6" t="s">
        <v>352</v>
      </c>
      <c r="I517" s="8"/>
      <c r="J517" s="9">
        <v>1</v>
      </c>
      <c r="K517" s="9">
        <v>384</v>
      </c>
      <c r="L517" s="9">
        <v>2024</v>
      </c>
      <c r="M517" s="8" t="s">
        <v>3117</v>
      </c>
      <c r="N517" s="8" t="s">
        <v>41</v>
      </c>
      <c r="O517" s="8" t="s">
        <v>42</v>
      </c>
      <c r="P517" s="6" t="s">
        <v>78</v>
      </c>
      <c r="Q517" s="8" t="s">
        <v>201</v>
      </c>
      <c r="R517" s="10" t="s">
        <v>600</v>
      </c>
      <c r="S517" s="11" t="s">
        <v>3118</v>
      </c>
      <c r="T517" s="6"/>
      <c r="U517" s="28" t="str">
        <f>HYPERLINK("https://media.infra-m.ru/2053/2053200/cover/2053200.jpg", "Обложка")</f>
        <v>Обложка</v>
      </c>
      <c r="V517" s="28" t="str">
        <f>HYPERLINK("https://znanium.ru/catalog/product/1052227", "Ознакомиться")</f>
        <v>Ознакомиться</v>
      </c>
      <c r="W517" s="8" t="s">
        <v>582</v>
      </c>
      <c r="X517" s="6"/>
      <c r="Y517" s="6"/>
      <c r="Z517" s="6"/>
      <c r="AA517" s="6" t="s">
        <v>435</v>
      </c>
    </row>
    <row r="518" spans="1:27" s="4" customFormat="1" ht="51.95" customHeight="1">
      <c r="A518" s="5">
        <v>0</v>
      </c>
      <c r="B518" s="6" t="s">
        <v>3119</v>
      </c>
      <c r="C518" s="13">
        <v>94.9</v>
      </c>
      <c r="D518" s="8" t="s">
        <v>3120</v>
      </c>
      <c r="E518" s="8" t="s">
        <v>3104</v>
      </c>
      <c r="F518" s="8" t="s">
        <v>307</v>
      </c>
      <c r="G518" s="6" t="s">
        <v>53</v>
      </c>
      <c r="H518" s="6" t="s">
        <v>54</v>
      </c>
      <c r="I518" s="8" t="s">
        <v>308</v>
      </c>
      <c r="J518" s="9">
        <v>1</v>
      </c>
      <c r="K518" s="9">
        <v>110</v>
      </c>
      <c r="L518" s="9">
        <v>2018</v>
      </c>
      <c r="M518" s="8" t="s">
        <v>3121</v>
      </c>
      <c r="N518" s="8" t="s">
        <v>41</v>
      </c>
      <c r="O518" s="8" t="s">
        <v>42</v>
      </c>
      <c r="P518" s="6" t="s">
        <v>66</v>
      </c>
      <c r="Q518" s="8" t="s">
        <v>97</v>
      </c>
      <c r="R518" s="10" t="s">
        <v>3122</v>
      </c>
      <c r="S518" s="11"/>
      <c r="T518" s="6"/>
      <c r="U518" s="28" t="str">
        <f>HYPERLINK("https://media.infra-m.ru/0939/0939195/cover/939195.jpg", "Обложка")</f>
        <v>Обложка</v>
      </c>
      <c r="V518" s="28" t="str">
        <f>HYPERLINK("https://znanium.ru/catalog/product/939195", "Ознакомиться")</f>
        <v>Ознакомиться</v>
      </c>
      <c r="W518" s="8"/>
      <c r="X518" s="6"/>
      <c r="Y518" s="6"/>
      <c r="Z518" s="6"/>
      <c r="AA518" s="6" t="s">
        <v>365</v>
      </c>
    </row>
    <row r="519" spans="1:27" s="4" customFormat="1" ht="42" customHeight="1">
      <c r="A519" s="5">
        <v>0</v>
      </c>
      <c r="B519" s="6" t="s">
        <v>3123</v>
      </c>
      <c r="C519" s="7">
        <v>1120</v>
      </c>
      <c r="D519" s="8" t="s">
        <v>3124</v>
      </c>
      <c r="E519" s="8" t="s">
        <v>3125</v>
      </c>
      <c r="F519" s="8" t="s">
        <v>3126</v>
      </c>
      <c r="G519" s="6" t="s">
        <v>75</v>
      </c>
      <c r="H519" s="6" t="s">
        <v>38</v>
      </c>
      <c r="I519" s="8" t="s">
        <v>39</v>
      </c>
      <c r="J519" s="9">
        <v>1</v>
      </c>
      <c r="K519" s="9">
        <v>329</v>
      </c>
      <c r="L519" s="9">
        <v>2022</v>
      </c>
      <c r="M519" s="8" t="s">
        <v>3127</v>
      </c>
      <c r="N519" s="8" t="s">
        <v>41</v>
      </c>
      <c r="O519" s="8" t="s">
        <v>42</v>
      </c>
      <c r="P519" s="6" t="s">
        <v>43</v>
      </c>
      <c r="Q519" s="8" t="s">
        <v>44</v>
      </c>
      <c r="R519" s="10" t="s">
        <v>234</v>
      </c>
      <c r="S519" s="11"/>
      <c r="T519" s="6"/>
      <c r="U519" s="28" t="str">
        <f>HYPERLINK("https://media.infra-m.ru/1003/1003264/cover/1003264.jpg", "Обложка")</f>
        <v>Обложка</v>
      </c>
      <c r="V519" s="28" t="str">
        <f>HYPERLINK("https://znanium.ru/catalog/product/1003264", "Ознакомиться")</f>
        <v>Ознакомиться</v>
      </c>
      <c r="W519" s="8" t="s">
        <v>648</v>
      </c>
      <c r="X519" s="6"/>
      <c r="Y519" s="6"/>
      <c r="Z519" s="6"/>
      <c r="AA519" s="6" t="s">
        <v>258</v>
      </c>
    </row>
    <row r="520" spans="1:27" s="4" customFormat="1" ht="51.95" customHeight="1">
      <c r="A520" s="5">
        <v>0</v>
      </c>
      <c r="B520" s="6" t="s">
        <v>3128</v>
      </c>
      <c r="C520" s="7">
        <v>1590</v>
      </c>
      <c r="D520" s="8" t="s">
        <v>3129</v>
      </c>
      <c r="E520" s="8" t="s">
        <v>3130</v>
      </c>
      <c r="F520" s="8" t="s">
        <v>3131</v>
      </c>
      <c r="G520" s="6" t="s">
        <v>37</v>
      </c>
      <c r="H520" s="6" t="s">
        <v>38</v>
      </c>
      <c r="I520" s="8" t="s">
        <v>76</v>
      </c>
      <c r="J520" s="9">
        <v>1</v>
      </c>
      <c r="K520" s="9">
        <v>390</v>
      </c>
      <c r="L520" s="9">
        <v>2022</v>
      </c>
      <c r="M520" s="8" t="s">
        <v>3132</v>
      </c>
      <c r="N520" s="8" t="s">
        <v>41</v>
      </c>
      <c r="O520" s="8" t="s">
        <v>42</v>
      </c>
      <c r="P520" s="6" t="s">
        <v>66</v>
      </c>
      <c r="Q520" s="8" t="s">
        <v>67</v>
      </c>
      <c r="R520" s="10" t="s">
        <v>486</v>
      </c>
      <c r="S520" s="11" t="s">
        <v>3133</v>
      </c>
      <c r="T520" s="6"/>
      <c r="U520" s="28" t="str">
        <f>HYPERLINK("https://media.infra-m.ru/1031/1031121/cover/1031121.jpg", "Обложка")</f>
        <v>Обложка</v>
      </c>
      <c r="V520" s="28" t="str">
        <f>HYPERLINK("https://znanium.ru/catalog/product/1031121", "Ознакомиться")</f>
        <v>Ознакомиться</v>
      </c>
      <c r="W520" s="8" t="s">
        <v>3134</v>
      </c>
      <c r="X520" s="6"/>
      <c r="Y520" s="6"/>
      <c r="Z520" s="6"/>
      <c r="AA520" s="6" t="s">
        <v>688</v>
      </c>
    </row>
    <row r="521" spans="1:27" s="4" customFormat="1" ht="51.95" customHeight="1">
      <c r="A521" s="5">
        <v>0</v>
      </c>
      <c r="B521" s="6" t="s">
        <v>3135</v>
      </c>
      <c r="C521" s="7">
        <v>1390</v>
      </c>
      <c r="D521" s="8" t="s">
        <v>3136</v>
      </c>
      <c r="E521" s="8" t="s">
        <v>3137</v>
      </c>
      <c r="F521" s="8" t="s">
        <v>3138</v>
      </c>
      <c r="G521" s="6" t="s">
        <v>75</v>
      </c>
      <c r="H521" s="6" t="s">
        <v>38</v>
      </c>
      <c r="I521" s="8" t="s">
        <v>39</v>
      </c>
      <c r="J521" s="9">
        <v>1</v>
      </c>
      <c r="K521" s="9">
        <v>308</v>
      </c>
      <c r="L521" s="9">
        <v>2022</v>
      </c>
      <c r="M521" s="8" t="s">
        <v>3139</v>
      </c>
      <c r="N521" s="8" t="s">
        <v>41</v>
      </c>
      <c r="O521" s="8" t="s">
        <v>42</v>
      </c>
      <c r="P521" s="6" t="s">
        <v>43</v>
      </c>
      <c r="Q521" s="8" t="s">
        <v>44</v>
      </c>
      <c r="R521" s="10" t="s">
        <v>3140</v>
      </c>
      <c r="S521" s="11"/>
      <c r="T521" s="6" t="s">
        <v>151</v>
      </c>
      <c r="U521" s="28" t="str">
        <f>HYPERLINK("https://media.infra-m.ru/1856/1856005/cover/1856005.jpg", "Обложка")</f>
        <v>Обложка</v>
      </c>
      <c r="V521" s="28" t="str">
        <f>HYPERLINK("https://znanium.ru/catalog/product/1856005", "Ознакомиться")</f>
        <v>Ознакомиться</v>
      </c>
      <c r="W521" s="8" t="s">
        <v>69</v>
      </c>
      <c r="X521" s="6"/>
      <c r="Y521" s="6"/>
      <c r="Z521" s="6"/>
      <c r="AA521" s="6" t="s">
        <v>89</v>
      </c>
    </row>
    <row r="522" spans="1:27" s="4" customFormat="1" ht="51.95" customHeight="1">
      <c r="A522" s="5">
        <v>0</v>
      </c>
      <c r="B522" s="6" t="s">
        <v>3141</v>
      </c>
      <c r="C522" s="7">
        <v>1974</v>
      </c>
      <c r="D522" s="8" t="s">
        <v>3142</v>
      </c>
      <c r="E522" s="8" t="s">
        <v>3143</v>
      </c>
      <c r="F522" s="8" t="s">
        <v>3144</v>
      </c>
      <c r="G522" s="6" t="s">
        <v>75</v>
      </c>
      <c r="H522" s="6" t="s">
        <v>333</v>
      </c>
      <c r="I522" s="8" t="s">
        <v>94</v>
      </c>
      <c r="J522" s="9">
        <v>1</v>
      </c>
      <c r="K522" s="9">
        <v>430</v>
      </c>
      <c r="L522" s="9">
        <v>2024</v>
      </c>
      <c r="M522" s="8" t="s">
        <v>3145</v>
      </c>
      <c r="N522" s="8" t="s">
        <v>41</v>
      </c>
      <c r="O522" s="8" t="s">
        <v>42</v>
      </c>
      <c r="P522" s="6" t="s">
        <v>66</v>
      </c>
      <c r="Q522" s="8" t="s">
        <v>141</v>
      </c>
      <c r="R522" s="10" t="s">
        <v>1229</v>
      </c>
      <c r="S522" s="11" t="s">
        <v>3146</v>
      </c>
      <c r="T522" s="6"/>
      <c r="U522" s="28" t="str">
        <f>HYPERLINK("https://media.infra-m.ru/2074/2074269/cover/2074269.jpg", "Обложка")</f>
        <v>Обложка</v>
      </c>
      <c r="V522" s="28" t="str">
        <f>HYPERLINK("https://znanium.ru/catalog/product/2074269", "Ознакомиться")</f>
        <v>Ознакомиться</v>
      </c>
      <c r="W522" s="8"/>
      <c r="X522" s="6"/>
      <c r="Y522" s="6"/>
      <c r="Z522" s="6"/>
      <c r="AA522" s="6" t="s">
        <v>304</v>
      </c>
    </row>
    <row r="523" spans="1:27" s="4" customFormat="1" ht="51.95" customHeight="1">
      <c r="A523" s="5">
        <v>0</v>
      </c>
      <c r="B523" s="6" t="s">
        <v>3147</v>
      </c>
      <c r="C523" s="7">
        <v>1264.9000000000001</v>
      </c>
      <c r="D523" s="8" t="s">
        <v>3148</v>
      </c>
      <c r="E523" s="8" t="s">
        <v>3149</v>
      </c>
      <c r="F523" s="8" t="s">
        <v>3150</v>
      </c>
      <c r="G523" s="6" t="s">
        <v>37</v>
      </c>
      <c r="H523" s="6" t="s">
        <v>333</v>
      </c>
      <c r="I523" s="8" t="s">
        <v>192</v>
      </c>
      <c r="J523" s="9">
        <v>1</v>
      </c>
      <c r="K523" s="9">
        <v>432</v>
      </c>
      <c r="L523" s="9">
        <v>2018</v>
      </c>
      <c r="M523" s="8" t="s">
        <v>3151</v>
      </c>
      <c r="N523" s="8" t="s">
        <v>41</v>
      </c>
      <c r="O523" s="8" t="s">
        <v>42</v>
      </c>
      <c r="P523" s="6" t="s">
        <v>66</v>
      </c>
      <c r="Q523" s="8" t="s">
        <v>97</v>
      </c>
      <c r="R523" s="10" t="s">
        <v>1229</v>
      </c>
      <c r="S523" s="11" t="s">
        <v>3152</v>
      </c>
      <c r="T523" s="6"/>
      <c r="U523" s="28" t="str">
        <f>HYPERLINK("https://media.infra-m.ru/0966/0966744/cover/966744.jpg", "Обложка")</f>
        <v>Обложка</v>
      </c>
      <c r="V523" s="28" t="str">
        <f>HYPERLINK("https://znanium.ru/catalog/product/2074269", "Ознакомиться")</f>
        <v>Ознакомиться</v>
      </c>
      <c r="W523" s="8"/>
      <c r="X523" s="6"/>
      <c r="Y523" s="6"/>
      <c r="Z523" s="6"/>
      <c r="AA523" s="6" t="s">
        <v>473</v>
      </c>
    </row>
    <row r="524" spans="1:27" s="4" customFormat="1" ht="42" customHeight="1">
      <c r="A524" s="5">
        <v>0</v>
      </c>
      <c r="B524" s="6" t="s">
        <v>3153</v>
      </c>
      <c r="C524" s="13">
        <v>490</v>
      </c>
      <c r="D524" s="8" t="s">
        <v>3154</v>
      </c>
      <c r="E524" s="8" t="s">
        <v>3155</v>
      </c>
      <c r="F524" s="8" t="s">
        <v>3156</v>
      </c>
      <c r="G524" s="6" t="s">
        <v>53</v>
      </c>
      <c r="H524" s="6" t="s">
        <v>38</v>
      </c>
      <c r="I524" s="8" t="s">
        <v>39</v>
      </c>
      <c r="J524" s="9">
        <v>1</v>
      </c>
      <c r="K524" s="9">
        <v>109</v>
      </c>
      <c r="L524" s="9">
        <v>2022</v>
      </c>
      <c r="M524" s="8" t="s">
        <v>3157</v>
      </c>
      <c r="N524" s="8" t="s">
        <v>41</v>
      </c>
      <c r="O524" s="8" t="s">
        <v>42</v>
      </c>
      <c r="P524" s="6" t="s">
        <v>43</v>
      </c>
      <c r="Q524" s="8" t="s">
        <v>44</v>
      </c>
      <c r="R524" s="10" t="s">
        <v>1633</v>
      </c>
      <c r="S524" s="11"/>
      <c r="T524" s="6"/>
      <c r="U524" s="28" t="str">
        <f>HYPERLINK("https://media.infra-m.ru/1759/1759766/cover/1759766.jpg", "Обложка")</f>
        <v>Обложка</v>
      </c>
      <c r="V524" s="28" t="str">
        <f>HYPERLINK("https://znanium.ru/catalog/product/1759766", "Ознакомиться")</f>
        <v>Ознакомиться</v>
      </c>
      <c r="W524" s="8" t="s">
        <v>236</v>
      </c>
      <c r="X524" s="6"/>
      <c r="Y524" s="6"/>
      <c r="Z524" s="6"/>
      <c r="AA524" s="6" t="s">
        <v>213</v>
      </c>
    </row>
    <row r="525" spans="1:27" s="4" customFormat="1" ht="44.1" customHeight="1">
      <c r="A525" s="5">
        <v>0</v>
      </c>
      <c r="B525" s="6" t="s">
        <v>3158</v>
      </c>
      <c r="C525" s="7">
        <v>1694</v>
      </c>
      <c r="D525" s="8" t="s">
        <v>3159</v>
      </c>
      <c r="E525" s="8" t="s">
        <v>3160</v>
      </c>
      <c r="F525" s="8" t="s">
        <v>3161</v>
      </c>
      <c r="G525" s="6" t="s">
        <v>37</v>
      </c>
      <c r="H525" s="6" t="s">
        <v>333</v>
      </c>
      <c r="I525" s="8"/>
      <c r="J525" s="9">
        <v>1</v>
      </c>
      <c r="K525" s="9">
        <v>368</v>
      </c>
      <c r="L525" s="9">
        <v>2023</v>
      </c>
      <c r="M525" s="8" t="s">
        <v>3162</v>
      </c>
      <c r="N525" s="8" t="s">
        <v>41</v>
      </c>
      <c r="O525" s="8" t="s">
        <v>42</v>
      </c>
      <c r="P525" s="6" t="s">
        <v>43</v>
      </c>
      <c r="Q525" s="8" t="s">
        <v>44</v>
      </c>
      <c r="R525" s="10" t="s">
        <v>3163</v>
      </c>
      <c r="S525" s="11"/>
      <c r="T525" s="6"/>
      <c r="U525" s="28" t="str">
        <f>HYPERLINK("https://media.infra-m.ru/2067/2067251/cover/2067251.jpg", "Обложка")</f>
        <v>Обложка</v>
      </c>
      <c r="V525" s="28" t="str">
        <f>HYPERLINK("https://znanium.ru/catalog/product/2067251", "Ознакомиться")</f>
        <v>Ознакомиться</v>
      </c>
      <c r="W525" s="8" t="s">
        <v>1230</v>
      </c>
      <c r="X525" s="6"/>
      <c r="Y525" s="6"/>
      <c r="Z525" s="6"/>
      <c r="AA525" s="6" t="s">
        <v>473</v>
      </c>
    </row>
    <row r="526" spans="1:27" s="4" customFormat="1" ht="42" customHeight="1">
      <c r="A526" s="5">
        <v>0</v>
      </c>
      <c r="B526" s="6" t="s">
        <v>3164</v>
      </c>
      <c r="C526" s="13">
        <v>680</v>
      </c>
      <c r="D526" s="8" t="s">
        <v>3165</v>
      </c>
      <c r="E526" s="8" t="s">
        <v>3166</v>
      </c>
      <c r="F526" s="8" t="s">
        <v>2944</v>
      </c>
      <c r="G526" s="6" t="s">
        <v>53</v>
      </c>
      <c r="H526" s="6" t="s">
        <v>38</v>
      </c>
      <c r="I526" s="8" t="s">
        <v>76</v>
      </c>
      <c r="J526" s="9">
        <v>1</v>
      </c>
      <c r="K526" s="9">
        <v>101</v>
      </c>
      <c r="L526" s="9">
        <v>2024</v>
      </c>
      <c r="M526" s="8" t="s">
        <v>3167</v>
      </c>
      <c r="N526" s="8" t="s">
        <v>41</v>
      </c>
      <c r="O526" s="8" t="s">
        <v>42</v>
      </c>
      <c r="P526" s="6" t="s">
        <v>66</v>
      </c>
      <c r="Q526" s="8" t="s">
        <v>67</v>
      </c>
      <c r="R526" s="10" t="s">
        <v>126</v>
      </c>
      <c r="S526" s="11"/>
      <c r="T526" s="6"/>
      <c r="U526" s="28" t="str">
        <f>HYPERLINK("https://media.infra-m.ru/2084/2084463/cover/2084463.jpg", "Обложка")</f>
        <v>Обложка</v>
      </c>
      <c r="V526" s="28" t="str">
        <f>HYPERLINK("https://znanium.ru/catalog/product/2084463", "Ознакомиться")</f>
        <v>Ознакомиться</v>
      </c>
      <c r="W526" s="8" t="s">
        <v>119</v>
      </c>
      <c r="X526" s="6"/>
      <c r="Y526" s="6"/>
      <c r="Z526" s="6"/>
      <c r="AA526" s="6" t="s">
        <v>82</v>
      </c>
    </row>
    <row r="527" spans="1:27" s="4" customFormat="1" ht="42" customHeight="1">
      <c r="A527" s="5">
        <v>0</v>
      </c>
      <c r="B527" s="6" t="s">
        <v>3168</v>
      </c>
      <c r="C527" s="7">
        <v>1320</v>
      </c>
      <c r="D527" s="8" t="s">
        <v>3169</v>
      </c>
      <c r="E527" s="8" t="s">
        <v>3170</v>
      </c>
      <c r="F527" s="8" t="s">
        <v>3171</v>
      </c>
      <c r="G527" s="6" t="s">
        <v>37</v>
      </c>
      <c r="H527" s="6" t="s">
        <v>38</v>
      </c>
      <c r="I527" s="8" t="s">
        <v>115</v>
      </c>
      <c r="J527" s="9">
        <v>1</v>
      </c>
      <c r="K527" s="9">
        <v>266</v>
      </c>
      <c r="L527" s="9">
        <v>2024</v>
      </c>
      <c r="M527" s="8" t="s">
        <v>3172</v>
      </c>
      <c r="N527" s="8" t="s">
        <v>41</v>
      </c>
      <c r="O527" s="8" t="s">
        <v>42</v>
      </c>
      <c r="P527" s="6" t="s">
        <v>78</v>
      </c>
      <c r="Q527" s="8" t="s">
        <v>67</v>
      </c>
      <c r="R527" s="10" t="s">
        <v>3173</v>
      </c>
      <c r="S527" s="11"/>
      <c r="T527" s="6"/>
      <c r="U527" s="28" t="str">
        <f>HYPERLINK("https://media.infra-m.ru/1908/1908973/cover/1908973.jpg", "Обложка")</f>
        <v>Обложка</v>
      </c>
      <c r="V527" s="28" t="str">
        <f>HYPERLINK("https://znanium.ru/catalog/product/1908973", "Ознакомиться")</f>
        <v>Ознакомиться</v>
      </c>
      <c r="W527" s="8" t="s">
        <v>119</v>
      </c>
      <c r="X527" s="6" t="s">
        <v>47</v>
      </c>
      <c r="Y527" s="6"/>
      <c r="Z527" s="6"/>
      <c r="AA527" s="6" t="s">
        <v>48</v>
      </c>
    </row>
    <row r="528" spans="1:27" s="4" customFormat="1" ht="42" customHeight="1">
      <c r="A528" s="5">
        <v>0</v>
      </c>
      <c r="B528" s="6" t="s">
        <v>3174</v>
      </c>
      <c r="C528" s="7">
        <v>1510</v>
      </c>
      <c r="D528" s="8" t="s">
        <v>3175</v>
      </c>
      <c r="E528" s="8" t="s">
        <v>3176</v>
      </c>
      <c r="F528" s="8" t="s">
        <v>3177</v>
      </c>
      <c r="G528" s="6" t="s">
        <v>53</v>
      </c>
      <c r="H528" s="6" t="s">
        <v>38</v>
      </c>
      <c r="I528" s="8" t="s">
        <v>1488</v>
      </c>
      <c r="J528" s="9">
        <v>1</v>
      </c>
      <c r="K528" s="9">
        <v>328</v>
      </c>
      <c r="L528" s="9">
        <v>2023</v>
      </c>
      <c r="M528" s="8" t="s">
        <v>3178</v>
      </c>
      <c r="N528" s="8" t="s">
        <v>41</v>
      </c>
      <c r="O528" s="8" t="s">
        <v>42</v>
      </c>
      <c r="P528" s="6" t="s">
        <v>43</v>
      </c>
      <c r="Q528" s="8" t="s">
        <v>44</v>
      </c>
      <c r="R528" s="10" t="s">
        <v>149</v>
      </c>
      <c r="S528" s="11"/>
      <c r="T528" s="6"/>
      <c r="U528" s="28" t="str">
        <f>HYPERLINK("https://media.infra-m.ru/2029/2029823/cover/2029823.jpg", "Обложка")</f>
        <v>Обложка</v>
      </c>
      <c r="V528" s="28" t="str">
        <f>HYPERLINK("https://znanium.ru/catalog/product/2029823", "Ознакомиться")</f>
        <v>Ознакомиться</v>
      </c>
      <c r="W528" s="8" t="s">
        <v>119</v>
      </c>
      <c r="X528" s="6" t="s">
        <v>3179</v>
      </c>
      <c r="Y528" s="6"/>
      <c r="Z528" s="6"/>
      <c r="AA528" s="6" t="s">
        <v>120</v>
      </c>
    </row>
    <row r="529" spans="1:27" s="4" customFormat="1" ht="42" customHeight="1">
      <c r="A529" s="5">
        <v>0</v>
      </c>
      <c r="B529" s="6" t="s">
        <v>3180</v>
      </c>
      <c r="C529" s="7">
        <v>1660</v>
      </c>
      <c r="D529" s="8" t="s">
        <v>3181</v>
      </c>
      <c r="E529" s="8" t="s">
        <v>3182</v>
      </c>
      <c r="F529" s="8" t="s">
        <v>3183</v>
      </c>
      <c r="G529" s="6" t="s">
        <v>37</v>
      </c>
      <c r="H529" s="6" t="s">
        <v>38</v>
      </c>
      <c r="I529" s="8" t="s">
        <v>199</v>
      </c>
      <c r="J529" s="9">
        <v>1</v>
      </c>
      <c r="K529" s="9">
        <v>342</v>
      </c>
      <c r="L529" s="9">
        <v>2024</v>
      </c>
      <c r="M529" s="8" t="s">
        <v>3184</v>
      </c>
      <c r="N529" s="8" t="s">
        <v>41</v>
      </c>
      <c r="O529" s="8" t="s">
        <v>42</v>
      </c>
      <c r="P529" s="6" t="s">
        <v>78</v>
      </c>
      <c r="Q529" s="8" t="s">
        <v>201</v>
      </c>
      <c r="R529" s="10" t="s">
        <v>202</v>
      </c>
      <c r="S529" s="11"/>
      <c r="T529" s="6"/>
      <c r="U529" s="28" t="str">
        <f>HYPERLINK("https://media.infra-m.ru/1870/1870567/cover/1870567.jpg", "Обложка")</f>
        <v>Обложка</v>
      </c>
      <c r="V529" s="28" t="str">
        <f>HYPERLINK("https://znanium.ru/catalog/product/1870567", "Ознакомиться")</f>
        <v>Ознакомиться</v>
      </c>
      <c r="W529" s="8" t="s">
        <v>166</v>
      </c>
      <c r="X529" s="6" t="s">
        <v>1644</v>
      </c>
      <c r="Y529" s="6"/>
      <c r="Z529" s="6"/>
      <c r="AA529" s="6" t="s">
        <v>48</v>
      </c>
    </row>
    <row r="530" spans="1:27" s="4" customFormat="1" ht="51.95" customHeight="1">
      <c r="A530" s="5">
        <v>0</v>
      </c>
      <c r="B530" s="6" t="s">
        <v>3185</v>
      </c>
      <c r="C530" s="7">
        <v>1130</v>
      </c>
      <c r="D530" s="8" t="s">
        <v>3186</v>
      </c>
      <c r="E530" s="8" t="s">
        <v>3187</v>
      </c>
      <c r="F530" s="8" t="s">
        <v>3188</v>
      </c>
      <c r="G530" s="6" t="s">
        <v>75</v>
      </c>
      <c r="H530" s="6" t="s">
        <v>38</v>
      </c>
      <c r="I530" s="8" t="s">
        <v>76</v>
      </c>
      <c r="J530" s="9">
        <v>1</v>
      </c>
      <c r="K530" s="9">
        <v>331</v>
      </c>
      <c r="L530" s="9">
        <v>2021</v>
      </c>
      <c r="M530" s="8" t="s">
        <v>3189</v>
      </c>
      <c r="N530" s="8" t="s">
        <v>41</v>
      </c>
      <c r="O530" s="8" t="s">
        <v>42</v>
      </c>
      <c r="P530" s="6" t="s">
        <v>66</v>
      </c>
      <c r="Q530" s="8" t="s">
        <v>67</v>
      </c>
      <c r="R530" s="10" t="s">
        <v>687</v>
      </c>
      <c r="S530" s="11" t="s">
        <v>3190</v>
      </c>
      <c r="T530" s="6"/>
      <c r="U530" s="28" t="str">
        <f>HYPERLINK("https://media.infra-m.ru/1121/1121560/cover/1121560.jpg", "Обложка")</f>
        <v>Обложка</v>
      </c>
      <c r="V530" s="28" t="str">
        <f>HYPERLINK("https://znanium.ru/catalog/product/1862859", "Ознакомиться")</f>
        <v>Ознакомиться</v>
      </c>
      <c r="W530" s="8" t="s">
        <v>3191</v>
      </c>
      <c r="X530" s="6"/>
      <c r="Y530" s="6"/>
      <c r="Z530" s="6"/>
      <c r="AA530" s="6" t="s">
        <v>173</v>
      </c>
    </row>
    <row r="531" spans="1:27" s="4" customFormat="1" ht="51.95" customHeight="1">
      <c r="A531" s="5">
        <v>0</v>
      </c>
      <c r="B531" s="6" t="s">
        <v>3192</v>
      </c>
      <c r="C531" s="7">
        <v>1614</v>
      </c>
      <c r="D531" s="8" t="s">
        <v>3193</v>
      </c>
      <c r="E531" s="8" t="s">
        <v>3194</v>
      </c>
      <c r="F531" s="8" t="s">
        <v>3195</v>
      </c>
      <c r="G531" s="6" t="s">
        <v>37</v>
      </c>
      <c r="H531" s="6" t="s">
        <v>1482</v>
      </c>
      <c r="I531" s="8" t="s">
        <v>394</v>
      </c>
      <c r="J531" s="9">
        <v>1</v>
      </c>
      <c r="K531" s="9">
        <v>352</v>
      </c>
      <c r="L531" s="9">
        <v>2024</v>
      </c>
      <c r="M531" s="8" t="s">
        <v>3196</v>
      </c>
      <c r="N531" s="8" t="s">
        <v>41</v>
      </c>
      <c r="O531" s="8" t="s">
        <v>96</v>
      </c>
      <c r="P531" s="6" t="s">
        <v>78</v>
      </c>
      <c r="Q531" s="8" t="s">
        <v>97</v>
      </c>
      <c r="R531" s="10" t="s">
        <v>3197</v>
      </c>
      <c r="S531" s="11" t="s">
        <v>3198</v>
      </c>
      <c r="T531" s="6"/>
      <c r="U531" s="28" t="str">
        <f>HYPERLINK("https://media.infra-m.ru/2086/2086857/cover/2086857.jpg", "Обложка")</f>
        <v>Обложка</v>
      </c>
      <c r="V531" s="28" t="str">
        <f>HYPERLINK("https://znanium.ru/catalog/product/1846717", "Ознакомиться")</f>
        <v>Ознакомиться</v>
      </c>
      <c r="W531" s="8" t="s">
        <v>3199</v>
      </c>
      <c r="X531" s="6"/>
      <c r="Y531" s="6"/>
      <c r="Z531" s="6"/>
      <c r="AA531" s="6" t="s">
        <v>101</v>
      </c>
    </row>
    <row r="532" spans="1:27" s="4" customFormat="1" ht="51.95" customHeight="1">
      <c r="A532" s="5">
        <v>0</v>
      </c>
      <c r="B532" s="6" t="s">
        <v>3200</v>
      </c>
      <c r="C532" s="13">
        <v>844</v>
      </c>
      <c r="D532" s="8" t="s">
        <v>3201</v>
      </c>
      <c r="E532" s="8" t="s">
        <v>3202</v>
      </c>
      <c r="F532" s="8" t="s">
        <v>3203</v>
      </c>
      <c r="G532" s="6" t="s">
        <v>75</v>
      </c>
      <c r="H532" s="6" t="s">
        <v>38</v>
      </c>
      <c r="I532" s="8" t="s">
        <v>224</v>
      </c>
      <c r="J532" s="9">
        <v>1</v>
      </c>
      <c r="K532" s="9">
        <v>186</v>
      </c>
      <c r="L532" s="9">
        <v>2023</v>
      </c>
      <c r="M532" s="8" t="s">
        <v>3204</v>
      </c>
      <c r="N532" s="8" t="s">
        <v>41</v>
      </c>
      <c r="O532" s="8" t="s">
        <v>96</v>
      </c>
      <c r="P532" s="6" t="s">
        <v>66</v>
      </c>
      <c r="Q532" s="8" t="s">
        <v>97</v>
      </c>
      <c r="R532" s="10" t="s">
        <v>378</v>
      </c>
      <c r="S532" s="11" t="s">
        <v>3205</v>
      </c>
      <c r="T532" s="6"/>
      <c r="U532" s="28" t="str">
        <f>HYPERLINK("https://media.infra-m.ru/2021/2021447/cover/2021447.jpg", "Обложка")</f>
        <v>Обложка</v>
      </c>
      <c r="V532" s="28" t="str">
        <f>HYPERLINK("https://znanium.ru/catalog/product/1206073", "Ознакомиться")</f>
        <v>Ознакомиться</v>
      </c>
      <c r="W532" s="8" t="s">
        <v>119</v>
      </c>
      <c r="X532" s="6"/>
      <c r="Y532" s="6"/>
      <c r="Z532" s="6"/>
      <c r="AA532" s="6" t="s">
        <v>405</v>
      </c>
    </row>
    <row r="533" spans="1:27" s="4" customFormat="1" ht="51.95" customHeight="1">
      <c r="A533" s="5">
        <v>0</v>
      </c>
      <c r="B533" s="6" t="s">
        <v>3206</v>
      </c>
      <c r="C533" s="13">
        <v>850</v>
      </c>
      <c r="D533" s="8" t="s">
        <v>3207</v>
      </c>
      <c r="E533" s="8" t="s">
        <v>3208</v>
      </c>
      <c r="F533" s="8" t="s">
        <v>3209</v>
      </c>
      <c r="G533" s="6" t="s">
        <v>75</v>
      </c>
      <c r="H533" s="6" t="s">
        <v>132</v>
      </c>
      <c r="I533" s="8" t="s">
        <v>192</v>
      </c>
      <c r="J533" s="9">
        <v>1</v>
      </c>
      <c r="K533" s="9">
        <v>184</v>
      </c>
      <c r="L533" s="9">
        <v>2024</v>
      </c>
      <c r="M533" s="8" t="s">
        <v>3210</v>
      </c>
      <c r="N533" s="8" t="s">
        <v>41</v>
      </c>
      <c r="O533" s="8" t="s">
        <v>42</v>
      </c>
      <c r="P533" s="6" t="s">
        <v>78</v>
      </c>
      <c r="Q533" s="8" t="s">
        <v>97</v>
      </c>
      <c r="R533" s="10" t="s">
        <v>3211</v>
      </c>
      <c r="S533" s="11" t="s">
        <v>421</v>
      </c>
      <c r="T533" s="6"/>
      <c r="U533" s="28" t="str">
        <f>HYPERLINK("https://media.infra-m.ru/2109/2109028/cover/2109028.jpg", "Обложка")</f>
        <v>Обложка</v>
      </c>
      <c r="V533" s="28" t="str">
        <f>HYPERLINK("https://znanium.ru/catalog/product/2109028", "Ознакомиться")</f>
        <v>Ознакомиться</v>
      </c>
      <c r="W533" s="8" t="s">
        <v>119</v>
      </c>
      <c r="X533" s="6"/>
      <c r="Y533" s="6"/>
      <c r="Z533" s="6"/>
      <c r="AA533" s="6" t="s">
        <v>89</v>
      </c>
    </row>
    <row r="534" spans="1:27" s="4" customFormat="1" ht="51.95" customHeight="1">
      <c r="A534" s="5">
        <v>0</v>
      </c>
      <c r="B534" s="6" t="s">
        <v>3212</v>
      </c>
      <c r="C534" s="7">
        <v>1394.9</v>
      </c>
      <c r="D534" s="8" t="s">
        <v>3213</v>
      </c>
      <c r="E534" s="8" t="s">
        <v>3214</v>
      </c>
      <c r="F534" s="8" t="s">
        <v>3215</v>
      </c>
      <c r="G534" s="6" t="s">
        <v>37</v>
      </c>
      <c r="H534" s="6" t="s">
        <v>38</v>
      </c>
      <c r="I534" s="8" t="s">
        <v>39</v>
      </c>
      <c r="J534" s="9">
        <v>1</v>
      </c>
      <c r="K534" s="9">
        <v>357</v>
      </c>
      <c r="L534" s="9">
        <v>2022</v>
      </c>
      <c r="M534" s="8" t="s">
        <v>3216</v>
      </c>
      <c r="N534" s="8" t="s">
        <v>41</v>
      </c>
      <c r="O534" s="8" t="s">
        <v>96</v>
      </c>
      <c r="P534" s="6" t="s">
        <v>43</v>
      </c>
      <c r="Q534" s="8" t="s">
        <v>44</v>
      </c>
      <c r="R534" s="10" t="s">
        <v>378</v>
      </c>
      <c r="S534" s="11"/>
      <c r="T534" s="6"/>
      <c r="U534" s="28" t="str">
        <f>HYPERLINK("https://media.infra-m.ru/1817/1817947/cover/1817947.jpg", "Обложка")</f>
        <v>Обложка</v>
      </c>
      <c r="V534" s="28" t="str">
        <f>HYPERLINK("https://znanium.ru/catalog/product/1817947", "Ознакомиться")</f>
        <v>Ознакомиться</v>
      </c>
      <c r="W534" s="8" t="s">
        <v>3217</v>
      </c>
      <c r="X534" s="6"/>
      <c r="Y534" s="6"/>
      <c r="Z534" s="6"/>
      <c r="AA534" s="6" t="s">
        <v>2396</v>
      </c>
    </row>
    <row r="535" spans="1:27" s="4" customFormat="1" ht="51.95" customHeight="1">
      <c r="A535" s="5">
        <v>0</v>
      </c>
      <c r="B535" s="6" t="s">
        <v>3218</v>
      </c>
      <c r="C535" s="13">
        <v>594.9</v>
      </c>
      <c r="D535" s="8" t="s">
        <v>3219</v>
      </c>
      <c r="E535" s="8" t="s">
        <v>3220</v>
      </c>
      <c r="F535" s="8" t="s">
        <v>3221</v>
      </c>
      <c r="G535" s="6" t="s">
        <v>37</v>
      </c>
      <c r="H535" s="6" t="s">
        <v>333</v>
      </c>
      <c r="I535" s="8" t="s">
        <v>192</v>
      </c>
      <c r="J535" s="9">
        <v>1</v>
      </c>
      <c r="K535" s="9">
        <v>176</v>
      </c>
      <c r="L535" s="9">
        <v>2020</v>
      </c>
      <c r="M535" s="8" t="s">
        <v>3222</v>
      </c>
      <c r="N535" s="8" t="s">
        <v>41</v>
      </c>
      <c r="O535" s="8" t="s">
        <v>42</v>
      </c>
      <c r="P535" s="6" t="s">
        <v>66</v>
      </c>
      <c r="Q535" s="8" t="s">
        <v>97</v>
      </c>
      <c r="R535" s="10" t="s">
        <v>234</v>
      </c>
      <c r="S535" s="11" t="s">
        <v>2320</v>
      </c>
      <c r="T535" s="6"/>
      <c r="U535" s="28" t="str">
        <f>HYPERLINK("https://media.infra-m.ru/1080/1080412/cover/1080412.jpg", "Обложка")</f>
        <v>Обложка</v>
      </c>
      <c r="V535" s="28" t="str">
        <f>HYPERLINK("https://znanium.ru/catalog/product/920529", "Ознакомиться")</f>
        <v>Ознакомиться</v>
      </c>
      <c r="W535" s="8" t="s">
        <v>3223</v>
      </c>
      <c r="X535" s="6"/>
      <c r="Y535" s="6"/>
      <c r="Z535" s="6"/>
      <c r="AA535" s="6" t="s">
        <v>258</v>
      </c>
    </row>
    <row r="536" spans="1:27" s="4" customFormat="1" ht="42" customHeight="1">
      <c r="A536" s="5">
        <v>0</v>
      </c>
      <c r="B536" s="6" t="s">
        <v>3224</v>
      </c>
      <c r="C536" s="13">
        <v>764</v>
      </c>
      <c r="D536" s="8" t="s">
        <v>3225</v>
      </c>
      <c r="E536" s="8" t="s">
        <v>3226</v>
      </c>
      <c r="F536" s="8" t="s">
        <v>3227</v>
      </c>
      <c r="G536" s="6" t="s">
        <v>53</v>
      </c>
      <c r="H536" s="6" t="s">
        <v>38</v>
      </c>
      <c r="I536" s="8" t="s">
        <v>39</v>
      </c>
      <c r="J536" s="9">
        <v>1</v>
      </c>
      <c r="K536" s="9">
        <v>167</v>
      </c>
      <c r="L536" s="9">
        <v>2024</v>
      </c>
      <c r="M536" s="8" t="s">
        <v>3228</v>
      </c>
      <c r="N536" s="8" t="s">
        <v>41</v>
      </c>
      <c r="O536" s="8" t="s">
        <v>96</v>
      </c>
      <c r="P536" s="6" t="s">
        <v>43</v>
      </c>
      <c r="Q536" s="8" t="s">
        <v>44</v>
      </c>
      <c r="R536" s="10" t="s">
        <v>234</v>
      </c>
      <c r="S536" s="11"/>
      <c r="T536" s="6"/>
      <c r="U536" s="28" t="str">
        <f>HYPERLINK("https://media.infra-m.ru/2079/2079334/cover/2079334.jpg", "Обложка")</f>
        <v>Обложка</v>
      </c>
      <c r="V536" s="28" t="str">
        <f>HYPERLINK("https://znanium.ru/catalog/product/1072301", "Ознакомиться")</f>
        <v>Ознакомиться</v>
      </c>
      <c r="W536" s="8" t="s">
        <v>1578</v>
      </c>
      <c r="X536" s="6"/>
      <c r="Y536" s="6"/>
      <c r="Z536" s="6"/>
      <c r="AA536" s="6" t="s">
        <v>613</v>
      </c>
    </row>
    <row r="537" spans="1:27" s="4" customFormat="1" ht="51.95" customHeight="1">
      <c r="A537" s="5">
        <v>0</v>
      </c>
      <c r="B537" s="6" t="s">
        <v>3229</v>
      </c>
      <c r="C537" s="7">
        <v>1334.9</v>
      </c>
      <c r="D537" s="8" t="s">
        <v>3230</v>
      </c>
      <c r="E537" s="8" t="s">
        <v>3231</v>
      </c>
      <c r="F537" s="8" t="s">
        <v>3232</v>
      </c>
      <c r="G537" s="6" t="s">
        <v>37</v>
      </c>
      <c r="H537" s="6" t="s">
        <v>38</v>
      </c>
      <c r="I537" s="8" t="s">
        <v>94</v>
      </c>
      <c r="J537" s="9">
        <v>1</v>
      </c>
      <c r="K537" s="9">
        <v>352</v>
      </c>
      <c r="L537" s="9">
        <v>2022</v>
      </c>
      <c r="M537" s="8" t="s">
        <v>3233</v>
      </c>
      <c r="N537" s="8" t="s">
        <v>41</v>
      </c>
      <c r="O537" s="8" t="s">
        <v>42</v>
      </c>
      <c r="P537" s="6" t="s">
        <v>78</v>
      </c>
      <c r="Q537" s="8" t="s">
        <v>97</v>
      </c>
      <c r="R537" s="10" t="s">
        <v>426</v>
      </c>
      <c r="S537" s="11" t="s">
        <v>3234</v>
      </c>
      <c r="T537" s="6"/>
      <c r="U537" s="28" t="str">
        <f>HYPERLINK("https://media.infra-m.ru/1844/1844281/cover/1844281.jpg", "Обложка")</f>
        <v>Обложка</v>
      </c>
      <c r="V537" s="28" t="str">
        <f>HYPERLINK("https://znanium.ru/catalog/product/920550", "Ознакомиться")</f>
        <v>Ознакомиться</v>
      </c>
      <c r="W537" s="8" t="s">
        <v>3235</v>
      </c>
      <c r="X537" s="6"/>
      <c r="Y537" s="6"/>
      <c r="Z537" s="6"/>
      <c r="AA537" s="6" t="s">
        <v>59</v>
      </c>
    </row>
    <row r="538" spans="1:27" s="4" customFormat="1" ht="51.95" customHeight="1">
      <c r="A538" s="5">
        <v>0</v>
      </c>
      <c r="B538" s="6" t="s">
        <v>3236</v>
      </c>
      <c r="C538" s="13">
        <v>844.9</v>
      </c>
      <c r="D538" s="8" t="s">
        <v>3237</v>
      </c>
      <c r="E538" s="8" t="s">
        <v>3238</v>
      </c>
      <c r="F538" s="8" t="s">
        <v>3239</v>
      </c>
      <c r="G538" s="6" t="s">
        <v>53</v>
      </c>
      <c r="H538" s="6" t="s">
        <v>38</v>
      </c>
      <c r="I538" s="8" t="s">
        <v>76</v>
      </c>
      <c r="J538" s="9">
        <v>1</v>
      </c>
      <c r="K538" s="9">
        <v>188</v>
      </c>
      <c r="L538" s="9">
        <v>2024</v>
      </c>
      <c r="M538" s="8" t="s">
        <v>3240</v>
      </c>
      <c r="N538" s="8" t="s">
        <v>41</v>
      </c>
      <c r="O538" s="8" t="s">
        <v>96</v>
      </c>
      <c r="P538" s="6" t="s">
        <v>66</v>
      </c>
      <c r="Q538" s="8" t="s">
        <v>67</v>
      </c>
      <c r="R538" s="10" t="s">
        <v>2587</v>
      </c>
      <c r="S538" s="11" t="s">
        <v>3241</v>
      </c>
      <c r="T538" s="6"/>
      <c r="U538" s="28" t="str">
        <f>HYPERLINK("https://media.infra-m.ru/2044/2044318/cover/2044318.jpg", "Обложка")</f>
        <v>Обложка</v>
      </c>
      <c r="V538" s="28" t="str">
        <f>HYPERLINK("https://znanium.ru/catalog/product/1844323", "Ознакомиться")</f>
        <v>Ознакомиться</v>
      </c>
      <c r="W538" s="8" t="s">
        <v>1786</v>
      </c>
      <c r="X538" s="6"/>
      <c r="Y538" s="6"/>
      <c r="Z538" s="6"/>
      <c r="AA538" s="6" t="s">
        <v>59</v>
      </c>
    </row>
    <row r="539" spans="1:27" s="4" customFormat="1" ht="51.95" customHeight="1">
      <c r="A539" s="5">
        <v>0</v>
      </c>
      <c r="B539" s="6" t="s">
        <v>3242</v>
      </c>
      <c r="C539" s="13">
        <v>864.9</v>
      </c>
      <c r="D539" s="8" t="s">
        <v>3243</v>
      </c>
      <c r="E539" s="8" t="s">
        <v>3244</v>
      </c>
      <c r="F539" s="8" t="s">
        <v>2597</v>
      </c>
      <c r="G539" s="6" t="s">
        <v>37</v>
      </c>
      <c r="H539" s="6" t="s">
        <v>38</v>
      </c>
      <c r="I539" s="8" t="s">
        <v>94</v>
      </c>
      <c r="J539" s="9">
        <v>1</v>
      </c>
      <c r="K539" s="9">
        <v>255</v>
      </c>
      <c r="L539" s="9">
        <v>2020</v>
      </c>
      <c r="M539" s="8" t="s">
        <v>3245</v>
      </c>
      <c r="N539" s="8" t="s">
        <v>41</v>
      </c>
      <c r="O539" s="8" t="s">
        <v>42</v>
      </c>
      <c r="P539" s="6" t="s">
        <v>66</v>
      </c>
      <c r="Q539" s="8" t="s">
        <v>97</v>
      </c>
      <c r="R539" s="10" t="s">
        <v>3246</v>
      </c>
      <c r="S539" s="11" t="s">
        <v>647</v>
      </c>
      <c r="T539" s="6"/>
      <c r="U539" s="28" t="str">
        <f>HYPERLINK("https://media.infra-m.ru/1045/1045817/cover/1045817.jpg", "Обложка")</f>
        <v>Обложка</v>
      </c>
      <c r="V539" s="28" t="str">
        <f>HYPERLINK("https://znanium.ru/catalog/product/922719", "Ознакомиться")</f>
        <v>Ознакомиться</v>
      </c>
      <c r="W539" s="8" t="s">
        <v>1230</v>
      </c>
      <c r="X539" s="6"/>
      <c r="Y539" s="6"/>
      <c r="Z539" s="6"/>
      <c r="AA539" s="6" t="s">
        <v>213</v>
      </c>
    </row>
    <row r="540" spans="1:27" s="4" customFormat="1" ht="51.95" customHeight="1">
      <c r="A540" s="5">
        <v>0</v>
      </c>
      <c r="B540" s="6" t="s">
        <v>3247</v>
      </c>
      <c r="C540" s="7">
        <v>1644</v>
      </c>
      <c r="D540" s="8" t="s">
        <v>3248</v>
      </c>
      <c r="E540" s="8" t="s">
        <v>3249</v>
      </c>
      <c r="F540" s="8" t="s">
        <v>3250</v>
      </c>
      <c r="G540" s="6" t="s">
        <v>37</v>
      </c>
      <c r="H540" s="6" t="s">
        <v>38</v>
      </c>
      <c r="I540" s="8" t="s">
        <v>94</v>
      </c>
      <c r="J540" s="9">
        <v>1</v>
      </c>
      <c r="K540" s="9">
        <v>364</v>
      </c>
      <c r="L540" s="9">
        <v>2023</v>
      </c>
      <c r="M540" s="8" t="s">
        <v>3251</v>
      </c>
      <c r="N540" s="8" t="s">
        <v>41</v>
      </c>
      <c r="O540" s="8" t="s">
        <v>42</v>
      </c>
      <c r="P540" s="6" t="s">
        <v>78</v>
      </c>
      <c r="Q540" s="8" t="s">
        <v>97</v>
      </c>
      <c r="R540" s="10" t="s">
        <v>2892</v>
      </c>
      <c r="S540" s="11" t="s">
        <v>3252</v>
      </c>
      <c r="T540" s="6"/>
      <c r="U540" s="28" t="str">
        <f>HYPERLINK("https://media.infra-m.ru/1932/1932280/cover/1932280.jpg", "Обложка")</f>
        <v>Обложка</v>
      </c>
      <c r="V540" s="28" t="str">
        <f>HYPERLINK("https://znanium.ru/catalog/product/1932280", "Ознакомиться")</f>
        <v>Ознакомиться</v>
      </c>
      <c r="W540" s="8" t="s">
        <v>1565</v>
      </c>
      <c r="X540" s="6"/>
      <c r="Y540" s="6"/>
      <c r="Z540" s="6"/>
      <c r="AA540" s="6" t="s">
        <v>928</v>
      </c>
    </row>
    <row r="541" spans="1:27" s="4" customFormat="1" ht="51.95" customHeight="1">
      <c r="A541" s="5">
        <v>0</v>
      </c>
      <c r="B541" s="6" t="s">
        <v>3253</v>
      </c>
      <c r="C541" s="13">
        <v>990</v>
      </c>
      <c r="D541" s="8" t="s">
        <v>3254</v>
      </c>
      <c r="E541" s="8" t="s">
        <v>3255</v>
      </c>
      <c r="F541" s="8" t="s">
        <v>3256</v>
      </c>
      <c r="G541" s="6" t="s">
        <v>37</v>
      </c>
      <c r="H541" s="6" t="s">
        <v>132</v>
      </c>
      <c r="I541" s="8" t="s">
        <v>3257</v>
      </c>
      <c r="J541" s="9">
        <v>1</v>
      </c>
      <c r="K541" s="9">
        <v>236</v>
      </c>
      <c r="L541" s="9">
        <v>2022</v>
      </c>
      <c r="M541" s="8" t="s">
        <v>3258</v>
      </c>
      <c r="N541" s="8" t="s">
        <v>41</v>
      </c>
      <c r="O541" s="8" t="s">
        <v>96</v>
      </c>
      <c r="P541" s="6" t="s">
        <v>78</v>
      </c>
      <c r="Q541" s="8" t="s">
        <v>97</v>
      </c>
      <c r="R541" s="10" t="s">
        <v>1905</v>
      </c>
      <c r="S541" s="11" t="s">
        <v>3259</v>
      </c>
      <c r="T541" s="6"/>
      <c r="U541" s="28" t="str">
        <f>HYPERLINK("https://media.infra-m.ru/1864/1864973/cover/1864973.jpg", "Обложка")</f>
        <v>Обложка</v>
      </c>
      <c r="V541" s="28" t="str">
        <f>HYPERLINK("https://znanium.ru/catalog/product/1876530", "Ознакомиться")</f>
        <v>Ознакомиться</v>
      </c>
      <c r="W541" s="8" t="s">
        <v>119</v>
      </c>
      <c r="X541" s="6"/>
      <c r="Y541" s="6"/>
      <c r="Z541" s="6"/>
      <c r="AA541" s="6" t="s">
        <v>89</v>
      </c>
    </row>
    <row r="542" spans="1:27" s="4" customFormat="1" ht="42" customHeight="1">
      <c r="A542" s="5">
        <v>0</v>
      </c>
      <c r="B542" s="6" t="s">
        <v>3260</v>
      </c>
      <c r="C542" s="13">
        <v>790</v>
      </c>
      <c r="D542" s="8" t="s">
        <v>3261</v>
      </c>
      <c r="E542" s="8" t="s">
        <v>3262</v>
      </c>
      <c r="F542" s="8" t="s">
        <v>3263</v>
      </c>
      <c r="G542" s="6" t="s">
        <v>75</v>
      </c>
      <c r="H542" s="6" t="s">
        <v>132</v>
      </c>
      <c r="I542" s="8"/>
      <c r="J542" s="9">
        <v>1</v>
      </c>
      <c r="K542" s="9">
        <v>154</v>
      </c>
      <c r="L542" s="9">
        <v>2024</v>
      </c>
      <c r="M542" s="8" t="s">
        <v>3264</v>
      </c>
      <c r="N542" s="8" t="s">
        <v>41</v>
      </c>
      <c r="O542" s="8" t="s">
        <v>42</v>
      </c>
      <c r="P542" s="6" t="s">
        <v>78</v>
      </c>
      <c r="Q542" s="8" t="s">
        <v>3265</v>
      </c>
      <c r="R542" s="10" t="s">
        <v>378</v>
      </c>
      <c r="S542" s="11"/>
      <c r="T542" s="6"/>
      <c r="U542" s="28" t="str">
        <f>HYPERLINK("https://media.infra-m.ru/2121/2121224/cover/2121224.jpg", "Обложка")</f>
        <v>Обложка</v>
      </c>
      <c r="V542" s="28" t="str">
        <f>HYPERLINK("https://znanium.ru/catalog/product/2121224", "Ознакомиться")</f>
        <v>Ознакомиться</v>
      </c>
      <c r="W542" s="8" t="s">
        <v>119</v>
      </c>
      <c r="X542" s="6"/>
      <c r="Y542" s="6"/>
      <c r="Z542" s="6"/>
      <c r="AA542" s="6" t="s">
        <v>213</v>
      </c>
    </row>
    <row r="543" spans="1:27" s="4" customFormat="1" ht="42" customHeight="1">
      <c r="A543" s="5">
        <v>0</v>
      </c>
      <c r="B543" s="6" t="s">
        <v>3266</v>
      </c>
      <c r="C543" s="7">
        <v>1190</v>
      </c>
      <c r="D543" s="8" t="s">
        <v>3267</v>
      </c>
      <c r="E543" s="8" t="s">
        <v>3268</v>
      </c>
      <c r="F543" s="8" t="s">
        <v>3269</v>
      </c>
      <c r="G543" s="6" t="s">
        <v>53</v>
      </c>
      <c r="H543" s="6" t="s">
        <v>38</v>
      </c>
      <c r="I543" s="8" t="s">
        <v>1488</v>
      </c>
      <c r="J543" s="9">
        <v>1</v>
      </c>
      <c r="K543" s="9">
        <v>250</v>
      </c>
      <c r="L543" s="9">
        <v>2023</v>
      </c>
      <c r="M543" s="8" t="s">
        <v>3270</v>
      </c>
      <c r="N543" s="8" t="s">
        <v>41</v>
      </c>
      <c r="O543" s="8" t="s">
        <v>42</v>
      </c>
      <c r="P543" s="6" t="s">
        <v>43</v>
      </c>
      <c r="Q543" s="8" t="s">
        <v>44</v>
      </c>
      <c r="R543" s="10" t="s">
        <v>2236</v>
      </c>
      <c r="S543" s="11"/>
      <c r="T543" s="6"/>
      <c r="U543" s="28" t="str">
        <f>HYPERLINK("https://media.infra-m.ru/2070/2070058/cover/2070058.jpg", "Обложка")</f>
        <v>Обложка</v>
      </c>
      <c r="V543" s="28" t="str">
        <f>HYPERLINK("https://znanium.ru/catalog/product/1911030", "Ознакомиться")</f>
        <v>Ознакомиться</v>
      </c>
      <c r="W543" s="8" t="s">
        <v>119</v>
      </c>
      <c r="X543" s="6"/>
      <c r="Y543" s="6"/>
      <c r="Z543" s="6"/>
      <c r="AA543" s="6" t="s">
        <v>120</v>
      </c>
    </row>
    <row r="544" spans="1:27" s="4" customFormat="1" ht="51.95" customHeight="1">
      <c r="A544" s="5">
        <v>0</v>
      </c>
      <c r="B544" s="6" t="s">
        <v>3271</v>
      </c>
      <c r="C544" s="13">
        <v>954</v>
      </c>
      <c r="D544" s="8" t="s">
        <v>3272</v>
      </c>
      <c r="E544" s="8" t="s">
        <v>3273</v>
      </c>
      <c r="F544" s="8" t="s">
        <v>3274</v>
      </c>
      <c r="G544" s="6" t="s">
        <v>37</v>
      </c>
      <c r="H544" s="6" t="s">
        <v>38</v>
      </c>
      <c r="I544" s="8" t="s">
        <v>94</v>
      </c>
      <c r="J544" s="9">
        <v>1</v>
      </c>
      <c r="K544" s="9">
        <v>207</v>
      </c>
      <c r="L544" s="9">
        <v>2024</v>
      </c>
      <c r="M544" s="8" t="s">
        <v>3275</v>
      </c>
      <c r="N544" s="8" t="s">
        <v>41</v>
      </c>
      <c r="O544" s="8" t="s">
        <v>42</v>
      </c>
      <c r="P544" s="6" t="s">
        <v>78</v>
      </c>
      <c r="Q544" s="8" t="s">
        <v>97</v>
      </c>
      <c r="R544" s="10" t="s">
        <v>426</v>
      </c>
      <c r="S544" s="11" t="s">
        <v>3276</v>
      </c>
      <c r="T544" s="6"/>
      <c r="U544" s="28" t="str">
        <f>HYPERLINK("https://media.infra-m.ru/2102/2102668/cover/2102668.jpg", "Обложка")</f>
        <v>Обложка</v>
      </c>
      <c r="V544" s="28" t="str">
        <f>HYPERLINK("https://znanium.ru/catalog/product/1084310", "Ознакомиться")</f>
        <v>Ознакомиться</v>
      </c>
      <c r="W544" s="8" t="s">
        <v>2870</v>
      </c>
      <c r="X544" s="6"/>
      <c r="Y544" s="6"/>
      <c r="Z544" s="6"/>
      <c r="AA544" s="6" t="s">
        <v>59</v>
      </c>
    </row>
    <row r="545" spans="1:27" s="4" customFormat="1" ht="42" customHeight="1">
      <c r="A545" s="5">
        <v>0</v>
      </c>
      <c r="B545" s="6" t="s">
        <v>3277</v>
      </c>
      <c r="C545" s="13">
        <v>704.9</v>
      </c>
      <c r="D545" s="8" t="s">
        <v>3278</v>
      </c>
      <c r="E545" s="8" t="s">
        <v>3279</v>
      </c>
      <c r="F545" s="8" t="s">
        <v>3280</v>
      </c>
      <c r="G545" s="6" t="s">
        <v>53</v>
      </c>
      <c r="H545" s="6" t="s">
        <v>38</v>
      </c>
      <c r="I545" s="8" t="s">
        <v>39</v>
      </c>
      <c r="J545" s="9">
        <v>1</v>
      </c>
      <c r="K545" s="9">
        <v>156</v>
      </c>
      <c r="L545" s="9">
        <v>2023</v>
      </c>
      <c r="M545" s="8" t="s">
        <v>3281</v>
      </c>
      <c r="N545" s="8" t="s">
        <v>41</v>
      </c>
      <c r="O545" s="8" t="s">
        <v>42</v>
      </c>
      <c r="P545" s="6" t="s">
        <v>43</v>
      </c>
      <c r="Q545" s="8" t="s">
        <v>44</v>
      </c>
      <c r="R545" s="10" t="s">
        <v>149</v>
      </c>
      <c r="S545" s="11"/>
      <c r="T545" s="6"/>
      <c r="U545" s="28" t="str">
        <f>HYPERLINK("https://media.infra-m.ru/2045/2045815/cover/2045815.jpg", "Обложка")</f>
        <v>Обложка</v>
      </c>
      <c r="V545" s="28" t="str">
        <f>HYPERLINK("https://znanium.ru/catalog/product/390880", "Ознакомиться")</f>
        <v>Ознакомиться</v>
      </c>
      <c r="W545" s="8" t="s">
        <v>328</v>
      </c>
      <c r="X545" s="6"/>
      <c r="Y545" s="6"/>
      <c r="Z545" s="6"/>
      <c r="AA545" s="6" t="s">
        <v>258</v>
      </c>
    </row>
    <row r="546" spans="1:27" s="4" customFormat="1" ht="51.95" customHeight="1">
      <c r="A546" s="5">
        <v>0</v>
      </c>
      <c r="B546" s="6" t="s">
        <v>3282</v>
      </c>
      <c r="C546" s="7">
        <v>1390</v>
      </c>
      <c r="D546" s="8" t="s">
        <v>3283</v>
      </c>
      <c r="E546" s="8" t="s">
        <v>3284</v>
      </c>
      <c r="F546" s="8" t="s">
        <v>3285</v>
      </c>
      <c r="G546" s="6" t="s">
        <v>75</v>
      </c>
      <c r="H546" s="6" t="s">
        <v>38</v>
      </c>
      <c r="I546" s="8" t="s">
        <v>76</v>
      </c>
      <c r="J546" s="9">
        <v>1</v>
      </c>
      <c r="K546" s="9">
        <v>303</v>
      </c>
      <c r="L546" s="9">
        <v>2024</v>
      </c>
      <c r="M546" s="8" t="s">
        <v>3286</v>
      </c>
      <c r="N546" s="8" t="s">
        <v>41</v>
      </c>
      <c r="O546" s="8" t="s">
        <v>42</v>
      </c>
      <c r="P546" s="6" t="s">
        <v>66</v>
      </c>
      <c r="Q546" s="8" t="s">
        <v>67</v>
      </c>
      <c r="R546" s="10" t="s">
        <v>126</v>
      </c>
      <c r="S546" s="11" t="s">
        <v>1007</v>
      </c>
      <c r="T546" s="6"/>
      <c r="U546" s="28" t="str">
        <f>HYPERLINK("https://media.infra-m.ru/2104/2104843/cover/2104843.jpg", "Обложка")</f>
        <v>Обложка</v>
      </c>
      <c r="V546" s="28" t="str">
        <f>HYPERLINK("https://znanium.ru/catalog/product/2104843", "Ознакомиться")</f>
        <v>Ознакомиться</v>
      </c>
      <c r="W546" s="8" t="s">
        <v>46</v>
      </c>
      <c r="X546" s="6"/>
      <c r="Y546" s="6"/>
      <c r="Z546" s="6"/>
      <c r="AA546" s="6" t="s">
        <v>473</v>
      </c>
    </row>
    <row r="547" spans="1:27" s="4" customFormat="1" ht="42" customHeight="1">
      <c r="A547" s="5">
        <v>0</v>
      </c>
      <c r="B547" s="6" t="s">
        <v>3287</v>
      </c>
      <c r="C547" s="13">
        <v>504.9</v>
      </c>
      <c r="D547" s="8" t="s">
        <v>3288</v>
      </c>
      <c r="E547" s="8" t="s">
        <v>3289</v>
      </c>
      <c r="F547" s="8" t="s">
        <v>3290</v>
      </c>
      <c r="G547" s="6" t="s">
        <v>53</v>
      </c>
      <c r="H547" s="6" t="s">
        <v>352</v>
      </c>
      <c r="I547" s="8"/>
      <c r="J547" s="9">
        <v>1</v>
      </c>
      <c r="K547" s="9">
        <v>112</v>
      </c>
      <c r="L547" s="9">
        <v>2023</v>
      </c>
      <c r="M547" s="8" t="s">
        <v>3291</v>
      </c>
      <c r="N547" s="8" t="s">
        <v>41</v>
      </c>
      <c r="O547" s="8" t="s">
        <v>42</v>
      </c>
      <c r="P547" s="6" t="s">
        <v>1451</v>
      </c>
      <c r="Q547" s="8" t="s">
        <v>97</v>
      </c>
      <c r="R547" s="10" t="s">
        <v>853</v>
      </c>
      <c r="S547" s="11"/>
      <c r="T547" s="6"/>
      <c r="U547" s="28" t="str">
        <f>HYPERLINK("https://media.infra-m.ru/1981/1981626/cover/1981626.jpg", "Обложка")</f>
        <v>Обложка</v>
      </c>
      <c r="V547" s="28" t="str">
        <f>HYPERLINK("https://znanium.ru/catalog/product/960064", "Ознакомиться")</f>
        <v>Ознакомиться</v>
      </c>
      <c r="W547" s="8" t="s">
        <v>582</v>
      </c>
      <c r="X547" s="6"/>
      <c r="Y547" s="6"/>
      <c r="Z547" s="6"/>
      <c r="AA547" s="6" t="s">
        <v>101</v>
      </c>
    </row>
    <row r="548" spans="1:27" s="4" customFormat="1" ht="51.95" customHeight="1">
      <c r="A548" s="5">
        <v>0</v>
      </c>
      <c r="B548" s="6" t="s">
        <v>3292</v>
      </c>
      <c r="C548" s="13">
        <v>824.9</v>
      </c>
      <c r="D548" s="8" t="s">
        <v>3293</v>
      </c>
      <c r="E548" s="8" t="s">
        <v>3294</v>
      </c>
      <c r="F548" s="8" t="s">
        <v>3295</v>
      </c>
      <c r="G548" s="6" t="s">
        <v>37</v>
      </c>
      <c r="H548" s="6" t="s">
        <v>38</v>
      </c>
      <c r="I548" s="8" t="s">
        <v>39</v>
      </c>
      <c r="J548" s="9">
        <v>1</v>
      </c>
      <c r="K548" s="9">
        <v>236</v>
      </c>
      <c r="L548" s="9">
        <v>2020</v>
      </c>
      <c r="M548" s="8" t="s">
        <v>3296</v>
      </c>
      <c r="N548" s="8" t="s">
        <v>41</v>
      </c>
      <c r="O548" s="8" t="s">
        <v>42</v>
      </c>
      <c r="P548" s="6" t="s">
        <v>43</v>
      </c>
      <c r="Q548" s="8" t="s">
        <v>44</v>
      </c>
      <c r="R548" s="10" t="s">
        <v>3297</v>
      </c>
      <c r="S548" s="11"/>
      <c r="T548" s="6"/>
      <c r="U548" s="28" t="str">
        <f>HYPERLINK("https://media.infra-m.ru/1047/1047105/cover/1047105.jpg", "Обложка")</f>
        <v>Обложка</v>
      </c>
      <c r="V548" s="28" t="str">
        <f>HYPERLINK("https://znanium.ru/catalog/product/947763", "Ознакомиться")</f>
        <v>Ознакомиться</v>
      </c>
      <c r="W548" s="8" t="s">
        <v>648</v>
      </c>
      <c r="X548" s="6"/>
      <c r="Y548" s="6"/>
      <c r="Z548" s="6"/>
      <c r="AA548" s="6" t="s">
        <v>213</v>
      </c>
    </row>
    <row r="549" spans="1:27" s="4" customFormat="1" ht="51.95" customHeight="1">
      <c r="A549" s="5">
        <v>0</v>
      </c>
      <c r="B549" s="6" t="s">
        <v>3298</v>
      </c>
      <c r="C549" s="13">
        <v>790</v>
      </c>
      <c r="D549" s="8" t="s">
        <v>3299</v>
      </c>
      <c r="E549" s="8" t="s">
        <v>3300</v>
      </c>
      <c r="F549" s="8" t="s">
        <v>1747</v>
      </c>
      <c r="G549" s="6" t="s">
        <v>53</v>
      </c>
      <c r="H549" s="6" t="s">
        <v>38</v>
      </c>
      <c r="I549" s="8" t="s">
        <v>39</v>
      </c>
      <c r="J549" s="9">
        <v>1</v>
      </c>
      <c r="K549" s="9">
        <v>199</v>
      </c>
      <c r="L549" s="9">
        <v>2021</v>
      </c>
      <c r="M549" s="8" t="s">
        <v>3301</v>
      </c>
      <c r="N549" s="8" t="s">
        <v>41</v>
      </c>
      <c r="O549" s="8" t="s">
        <v>42</v>
      </c>
      <c r="P549" s="6" t="s">
        <v>43</v>
      </c>
      <c r="Q549" s="8" t="s">
        <v>44</v>
      </c>
      <c r="R549" s="10" t="s">
        <v>3302</v>
      </c>
      <c r="S549" s="11"/>
      <c r="T549" s="6"/>
      <c r="U549" s="28" t="str">
        <f>HYPERLINK("https://media.infra-m.ru/1206/1206681/cover/1206681.jpg", "Обложка")</f>
        <v>Обложка</v>
      </c>
      <c r="V549" s="28" t="str">
        <f>HYPERLINK("https://znanium.ru/catalog/product/1206681", "Ознакомиться")</f>
        <v>Ознакомиться</v>
      </c>
      <c r="W549" s="8" t="s">
        <v>1310</v>
      </c>
      <c r="X549" s="6"/>
      <c r="Y549" s="6"/>
      <c r="Z549" s="6"/>
      <c r="AA549" s="6" t="s">
        <v>70</v>
      </c>
    </row>
    <row r="550" spans="1:27" s="4" customFormat="1" ht="51.95" customHeight="1">
      <c r="A550" s="5">
        <v>0</v>
      </c>
      <c r="B550" s="6" t="s">
        <v>3303</v>
      </c>
      <c r="C550" s="7">
        <v>1084.9000000000001</v>
      </c>
      <c r="D550" s="8" t="s">
        <v>3304</v>
      </c>
      <c r="E550" s="8" t="s">
        <v>3305</v>
      </c>
      <c r="F550" s="8" t="s">
        <v>1221</v>
      </c>
      <c r="G550" s="6" t="s">
        <v>37</v>
      </c>
      <c r="H550" s="6" t="s">
        <v>38</v>
      </c>
      <c r="I550" s="8" t="s">
        <v>94</v>
      </c>
      <c r="J550" s="9">
        <v>1</v>
      </c>
      <c r="K550" s="9">
        <v>240</v>
      </c>
      <c r="L550" s="9">
        <v>2023</v>
      </c>
      <c r="M550" s="8" t="s">
        <v>3306</v>
      </c>
      <c r="N550" s="8" t="s">
        <v>41</v>
      </c>
      <c r="O550" s="8" t="s">
        <v>42</v>
      </c>
      <c r="P550" s="6" t="s">
        <v>66</v>
      </c>
      <c r="Q550" s="8" t="s">
        <v>97</v>
      </c>
      <c r="R550" s="10" t="s">
        <v>3307</v>
      </c>
      <c r="S550" s="11" t="s">
        <v>3308</v>
      </c>
      <c r="T550" s="6"/>
      <c r="U550" s="28" t="str">
        <f>HYPERLINK("https://media.infra-m.ru/1981/1981614/cover/1981614.jpg", "Обложка")</f>
        <v>Обложка</v>
      </c>
      <c r="V550" s="28" t="str">
        <f>HYPERLINK("https://znanium.ru/catalog/product/1981614", "Ознакомиться")</f>
        <v>Ознакомиться</v>
      </c>
      <c r="W550" s="8" t="s">
        <v>166</v>
      </c>
      <c r="X550" s="6"/>
      <c r="Y550" s="6"/>
      <c r="Z550" s="6"/>
      <c r="AA550" s="6" t="s">
        <v>321</v>
      </c>
    </row>
    <row r="551" spans="1:27" s="4" customFormat="1" ht="42" customHeight="1">
      <c r="A551" s="5">
        <v>0</v>
      </c>
      <c r="B551" s="6" t="s">
        <v>3309</v>
      </c>
      <c r="C551" s="7">
        <v>1260</v>
      </c>
      <c r="D551" s="8" t="s">
        <v>3310</v>
      </c>
      <c r="E551" s="8" t="s">
        <v>3305</v>
      </c>
      <c r="F551" s="8" t="s">
        <v>2463</v>
      </c>
      <c r="G551" s="6" t="s">
        <v>37</v>
      </c>
      <c r="H551" s="6" t="s">
        <v>38</v>
      </c>
      <c r="I551" s="8" t="s">
        <v>192</v>
      </c>
      <c r="J551" s="9">
        <v>1</v>
      </c>
      <c r="K551" s="9">
        <v>267</v>
      </c>
      <c r="L551" s="9">
        <v>2024</v>
      </c>
      <c r="M551" s="8" t="s">
        <v>3311</v>
      </c>
      <c r="N551" s="8" t="s">
        <v>41</v>
      </c>
      <c r="O551" s="8" t="s">
        <v>42</v>
      </c>
      <c r="P551" s="6" t="s">
        <v>66</v>
      </c>
      <c r="Q551" s="8" t="s">
        <v>97</v>
      </c>
      <c r="R551" s="10" t="s">
        <v>3312</v>
      </c>
      <c r="S551" s="11"/>
      <c r="T551" s="6"/>
      <c r="U551" s="28" t="str">
        <f>HYPERLINK("https://media.infra-m.ru/1938/1938075/cover/1938075.jpg", "Обложка")</f>
        <v>Обложка</v>
      </c>
      <c r="V551" s="28" t="str">
        <f>HYPERLINK("https://znanium.ru/catalog/product/1938075", "Ознакомиться")</f>
        <v>Ознакомиться</v>
      </c>
      <c r="W551" s="8" t="s">
        <v>109</v>
      </c>
      <c r="X551" s="6" t="s">
        <v>2503</v>
      </c>
      <c r="Y551" s="6"/>
      <c r="Z551" s="6"/>
      <c r="AA551" s="6" t="s">
        <v>48</v>
      </c>
    </row>
    <row r="552" spans="1:27" s="4" customFormat="1" ht="51.95" customHeight="1">
      <c r="A552" s="5">
        <v>0</v>
      </c>
      <c r="B552" s="6" t="s">
        <v>3313</v>
      </c>
      <c r="C552" s="7">
        <v>1444</v>
      </c>
      <c r="D552" s="8" t="s">
        <v>3314</v>
      </c>
      <c r="E552" s="8" t="s">
        <v>3315</v>
      </c>
      <c r="F552" s="8" t="s">
        <v>3316</v>
      </c>
      <c r="G552" s="6" t="s">
        <v>37</v>
      </c>
      <c r="H552" s="6" t="s">
        <v>38</v>
      </c>
      <c r="I552" s="8" t="s">
        <v>94</v>
      </c>
      <c r="J552" s="9">
        <v>1</v>
      </c>
      <c r="K552" s="9">
        <v>320</v>
      </c>
      <c r="L552" s="9">
        <v>2024</v>
      </c>
      <c r="M552" s="8" t="s">
        <v>3317</v>
      </c>
      <c r="N552" s="8" t="s">
        <v>41</v>
      </c>
      <c r="O552" s="8" t="s">
        <v>42</v>
      </c>
      <c r="P552" s="6" t="s">
        <v>78</v>
      </c>
      <c r="Q552" s="8" t="s">
        <v>97</v>
      </c>
      <c r="R552" s="10" t="s">
        <v>2303</v>
      </c>
      <c r="S552" s="11" t="s">
        <v>3318</v>
      </c>
      <c r="T552" s="6"/>
      <c r="U552" s="28" t="str">
        <f>HYPERLINK("https://media.infra-m.ru/1913/1913215/cover/1913215.jpg", "Обложка")</f>
        <v>Обложка</v>
      </c>
      <c r="V552" s="28" t="str">
        <f>HYPERLINK("https://znanium.ru/catalog/product/959961", "Ознакомиться")</f>
        <v>Ознакомиться</v>
      </c>
      <c r="W552" s="8" t="s">
        <v>46</v>
      </c>
      <c r="X552" s="6"/>
      <c r="Y552" s="6"/>
      <c r="Z552" s="6"/>
      <c r="AA552" s="6" t="s">
        <v>59</v>
      </c>
    </row>
    <row r="553" spans="1:27" s="4" customFormat="1" ht="42" customHeight="1">
      <c r="A553" s="5">
        <v>0</v>
      </c>
      <c r="B553" s="6" t="s">
        <v>3319</v>
      </c>
      <c r="C553" s="13">
        <v>814</v>
      </c>
      <c r="D553" s="8" t="s">
        <v>3320</v>
      </c>
      <c r="E553" s="8" t="s">
        <v>3321</v>
      </c>
      <c r="F553" s="8" t="s">
        <v>3322</v>
      </c>
      <c r="G553" s="6" t="s">
        <v>37</v>
      </c>
      <c r="H553" s="6" t="s">
        <v>132</v>
      </c>
      <c r="I553" s="8" t="s">
        <v>2025</v>
      </c>
      <c r="J553" s="9">
        <v>1</v>
      </c>
      <c r="K553" s="9">
        <v>176</v>
      </c>
      <c r="L553" s="9">
        <v>2024</v>
      </c>
      <c r="M553" s="8" t="s">
        <v>3323</v>
      </c>
      <c r="N553" s="8" t="s">
        <v>41</v>
      </c>
      <c r="O553" s="8" t="s">
        <v>42</v>
      </c>
      <c r="P553" s="6" t="s">
        <v>66</v>
      </c>
      <c r="Q553" s="8" t="s">
        <v>67</v>
      </c>
      <c r="R553" s="10" t="s">
        <v>3173</v>
      </c>
      <c r="S553" s="11"/>
      <c r="T553" s="6"/>
      <c r="U553" s="28" t="str">
        <f>HYPERLINK("https://media.infra-m.ru/2094/2094520/cover/2094520.jpg", "Обложка")</f>
        <v>Обложка</v>
      </c>
      <c r="V553" s="12"/>
      <c r="W553" s="8" t="s">
        <v>119</v>
      </c>
      <c r="X553" s="6"/>
      <c r="Y553" s="6"/>
      <c r="Z553" s="6"/>
      <c r="AA553" s="6" t="s">
        <v>101</v>
      </c>
    </row>
    <row r="554" spans="1:27" s="4" customFormat="1" ht="51.95" customHeight="1">
      <c r="A554" s="5">
        <v>0</v>
      </c>
      <c r="B554" s="6" t="s">
        <v>3324</v>
      </c>
      <c r="C554" s="13">
        <v>970</v>
      </c>
      <c r="D554" s="8" t="s">
        <v>3325</v>
      </c>
      <c r="E554" s="8" t="s">
        <v>3326</v>
      </c>
      <c r="F554" s="8" t="s">
        <v>3327</v>
      </c>
      <c r="G554" s="6" t="s">
        <v>75</v>
      </c>
      <c r="H554" s="6" t="s">
        <v>38</v>
      </c>
      <c r="I554" s="8" t="s">
        <v>94</v>
      </c>
      <c r="J554" s="9">
        <v>1</v>
      </c>
      <c r="K554" s="9">
        <v>254</v>
      </c>
      <c r="L554" s="9">
        <v>2022</v>
      </c>
      <c r="M554" s="8" t="s">
        <v>3328</v>
      </c>
      <c r="N554" s="8" t="s">
        <v>41</v>
      </c>
      <c r="O554" s="8" t="s">
        <v>42</v>
      </c>
      <c r="P554" s="6" t="s">
        <v>66</v>
      </c>
      <c r="Q554" s="8" t="s">
        <v>97</v>
      </c>
      <c r="R554" s="10" t="s">
        <v>654</v>
      </c>
      <c r="S554" s="11" t="s">
        <v>1826</v>
      </c>
      <c r="T554" s="6"/>
      <c r="U554" s="28" t="str">
        <f>HYPERLINK("https://media.infra-m.ru/1836/1836721/cover/1836721.jpg", "Обложка")</f>
        <v>Обложка</v>
      </c>
      <c r="V554" s="28" t="str">
        <f>HYPERLINK("https://znanium.ru/catalog/product/1836721", "Ознакомиться")</f>
        <v>Ознакомиться</v>
      </c>
      <c r="W554" s="8" t="s">
        <v>560</v>
      </c>
      <c r="X554" s="6"/>
      <c r="Y554" s="6"/>
      <c r="Z554" s="6"/>
      <c r="AA554" s="6" t="s">
        <v>82</v>
      </c>
    </row>
    <row r="555" spans="1:27" s="4" customFormat="1" ht="51.95" customHeight="1">
      <c r="A555" s="5">
        <v>0</v>
      </c>
      <c r="B555" s="6" t="s">
        <v>3329</v>
      </c>
      <c r="C555" s="7">
        <v>1140</v>
      </c>
      <c r="D555" s="8" t="s">
        <v>3330</v>
      </c>
      <c r="E555" s="8" t="s">
        <v>3326</v>
      </c>
      <c r="F555" s="8" t="s">
        <v>3327</v>
      </c>
      <c r="G555" s="6" t="s">
        <v>75</v>
      </c>
      <c r="H555" s="6" t="s">
        <v>38</v>
      </c>
      <c r="I555" s="8" t="s">
        <v>199</v>
      </c>
      <c r="J555" s="9">
        <v>1</v>
      </c>
      <c r="K555" s="9">
        <v>254</v>
      </c>
      <c r="L555" s="9">
        <v>2023</v>
      </c>
      <c r="M555" s="8" t="s">
        <v>3331</v>
      </c>
      <c r="N555" s="8" t="s">
        <v>41</v>
      </c>
      <c r="O555" s="8" t="s">
        <v>42</v>
      </c>
      <c r="P555" s="6" t="s">
        <v>66</v>
      </c>
      <c r="Q555" s="8" t="s">
        <v>201</v>
      </c>
      <c r="R555" s="10" t="s">
        <v>202</v>
      </c>
      <c r="S555" s="11" t="s">
        <v>3332</v>
      </c>
      <c r="T555" s="6"/>
      <c r="U555" s="28" t="str">
        <f>HYPERLINK("https://media.infra-m.ru/1920/1920309/cover/1920309.jpg", "Обложка")</f>
        <v>Обложка</v>
      </c>
      <c r="V555" s="28" t="str">
        <f>HYPERLINK("https://znanium.ru/catalog/product/1920309", "Ознакомиться")</f>
        <v>Ознакомиться</v>
      </c>
      <c r="W555" s="8" t="s">
        <v>560</v>
      </c>
      <c r="X555" s="6"/>
      <c r="Y555" s="6"/>
      <c r="Z555" s="6" t="s">
        <v>204</v>
      </c>
      <c r="AA555" s="6" t="s">
        <v>173</v>
      </c>
    </row>
    <row r="556" spans="1:27" s="4" customFormat="1" ht="51.95" customHeight="1">
      <c r="A556" s="5">
        <v>0</v>
      </c>
      <c r="B556" s="6" t="s">
        <v>3333</v>
      </c>
      <c r="C556" s="7">
        <v>1750</v>
      </c>
      <c r="D556" s="8" t="s">
        <v>3334</v>
      </c>
      <c r="E556" s="8" t="s">
        <v>3335</v>
      </c>
      <c r="F556" s="8" t="s">
        <v>3336</v>
      </c>
      <c r="G556" s="6" t="s">
        <v>75</v>
      </c>
      <c r="H556" s="6" t="s">
        <v>38</v>
      </c>
      <c r="I556" s="8" t="s">
        <v>76</v>
      </c>
      <c r="J556" s="9">
        <v>1</v>
      </c>
      <c r="K556" s="9">
        <v>377</v>
      </c>
      <c r="L556" s="9">
        <v>2023</v>
      </c>
      <c r="M556" s="8" t="s">
        <v>3337</v>
      </c>
      <c r="N556" s="8" t="s">
        <v>41</v>
      </c>
      <c r="O556" s="8" t="s">
        <v>42</v>
      </c>
      <c r="P556" s="6" t="s">
        <v>66</v>
      </c>
      <c r="Q556" s="8" t="s">
        <v>67</v>
      </c>
      <c r="R556" s="10" t="s">
        <v>3338</v>
      </c>
      <c r="S556" s="11" t="s">
        <v>3339</v>
      </c>
      <c r="T556" s="6"/>
      <c r="U556" s="28" t="str">
        <f>HYPERLINK("https://media.infra-m.ru/2038/2038325/cover/2038325.jpg", "Обложка")</f>
        <v>Обложка</v>
      </c>
      <c r="V556" s="28" t="str">
        <f>HYPERLINK("https://znanium.ru/catalog/product/2038325", "Ознакомиться")</f>
        <v>Ознакомиться</v>
      </c>
      <c r="W556" s="8" t="s">
        <v>3340</v>
      </c>
      <c r="X556" s="6"/>
      <c r="Y556" s="6"/>
      <c r="Z556" s="6"/>
      <c r="AA556" s="6" t="s">
        <v>445</v>
      </c>
    </row>
    <row r="557" spans="1:27" s="4" customFormat="1" ht="42" customHeight="1">
      <c r="A557" s="5">
        <v>0</v>
      </c>
      <c r="B557" s="6" t="s">
        <v>3341</v>
      </c>
      <c r="C557" s="13">
        <v>534.9</v>
      </c>
      <c r="D557" s="8" t="s">
        <v>3342</v>
      </c>
      <c r="E557" s="8" t="s">
        <v>3343</v>
      </c>
      <c r="F557" s="8" t="s">
        <v>3344</v>
      </c>
      <c r="G557" s="6" t="s">
        <v>53</v>
      </c>
      <c r="H557" s="6" t="s">
        <v>38</v>
      </c>
      <c r="I557" s="8" t="s">
        <v>39</v>
      </c>
      <c r="J557" s="9">
        <v>1</v>
      </c>
      <c r="K557" s="9">
        <v>136</v>
      </c>
      <c r="L557" s="9">
        <v>2022</v>
      </c>
      <c r="M557" s="8" t="s">
        <v>3345</v>
      </c>
      <c r="N557" s="8" t="s">
        <v>41</v>
      </c>
      <c r="O557" s="8" t="s">
        <v>42</v>
      </c>
      <c r="P557" s="6" t="s">
        <v>43</v>
      </c>
      <c r="Q557" s="8" t="s">
        <v>44</v>
      </c>
      <c r="R557" s="10" t="s">
        <v>2835</v>
      </c>
      <c r="S557" s="11"/>
      <c r="T557" s="6"/>
      <c r="U557" s="28" t="str">
        <f>HYPERLINK("https://media.infra-m.ru/1853/1853537/cover/1853537.jpg", "Обложка")</f>
        <v>Обложка</v>
      </c>
      <c r="V557" s="28" t="str">
        <f>HYPERLINK("https://znanium.ru/catalog/product/1009724", "Ознакомиться")</f>
        <v>Ознакомиться</v>
      </c>
      <c r="W557" s="8" t="s">
        <v>648</v>
      </c>
      <c r="X557" s="6"/>
      <c r="Y557" s="6"/>
      <c r="Z557" s="6"/>
      <c r="AA557" s="6" t="s">
        <v>321</v>
      </c>
    </row>
    <row r="558" spans="1:27" s="4" customFormat="1" ht="51.95" customHeight="1">
      <c r="A558" s="5">
        <v>0</v>
      </c>
      <c r="B558" s="6" t="s">
        <v>3346</v>
      </c>
      <c r="C558" s="13">
        <v>390</v>
      </c>
      <c r="D558" s="8" t="s">
        <v>3347</v>
      </c>
      <c r="E558" s="8" t="s">
        <v>3348</v>
      </c>
      <c r="F558" s="8" t="s">
        <v>3349</v>
      </c>
      <c r="G558" s="6" t="s">
        <v>53</v>
      </c>
      <c r="H558" s="6" t="s">
        <v>38</v>
      </c>
      <c r="I558" s="8" t="s">
        <v>39</v>
      </c>
      <c r="J558" s="9">
        <v>1</v>
      </c>
      <c r="K558" s="9">
        <v>118</v>
      </c>
      <c r="L558" s="9">
        <v>2018</v>
      </c>
      <c r="M558" s="8" t="s">
        <v>3350</v>
      </c>
      <c r="N558" s="8" t="s">
        <v>41</v>
      </c>
      <c r="O558" s="8" t="s">
        <v>42</v>
      </c>
      <c r="P558" s="6" t="s">
        <v>43</v>
      </c>
      <c r="Q558" s="8" t="s">
        <v>44</v>
      </c>
      <c r="R558" s="10" t="s">
        <v>3036</v>
      </c>
      <c r="S558" s="11"/>
      <c r="T558" s="6"/>
      <c r="U558" s="28" t="str">
        <f>HYPERLINK("https://media.infra-m.ru/0959/0959880/cover/959880.jpg", "Обложка")</f>
        <v>Обложка</v>
      </c>
      <c r="V558" s="28" t="str">
        <f>HYPERLINK("https://znanium.ru/catalog/product/959880", "Ознакомиться")</f>
        <v>Ознакомиться</v>
      </c>
      <c r="W558" s="8" t="s">
        <v>3351</v>
      </c>
      <c r="X558" s="6"/>
      <c r="Y558" s="6"/>
      <c r="Z558" s="6"/>
      <c r="AA558" s="6" t="s">
        <v>89</v>
      </c>
    </row>
    <row r="559" spans="1:27" s="4" customFormat="1" ht="51.95" customHeight="1">
      <c r="A559" s="5">
        <v>0</v>
      </c>
      <c r="B559" s="6" t="s">
        <v>3352</v>
      </c>
      <c r="C559" s="7">
        <v>1564.9</v>
      </c>
      <c r="D559" s="8" t="s">
        <v>3353</v>
      </c>
      <c r="E559" s="8" t="s">
        <v>3354</v>
      </c>
      <c r="F559" s="8" t="s">
        <v>3355</v>
      </c>
      <c r="G559" s="6" t="s">
        <v>37</v>
      </c>
      <c r="H559" s="6" t="s">
        <v>132</v>
      </c>
      <c r="I559" s="8"/>
      <c r="J559" s="9">
        <v>1</v>
      </c>
      <c r="K559" s="9">
        <v>348</v>
      </c>
      <c r="L559" s="9">
        <v>2023</v>
      </c>
      <c r="M559" s="8" t="s">
        <v>3356</v>
      </c>
      <c r="N559" s="8" t="s">
        <v>41</v>
      </c>
      <c r="O559" s="8" t="s">
        <v>42</v>
      </c>
      <c r="P559" s="6" t="s">
        <v>66</v>
      </c>
      <c r="Q559" s="8" t="s">
        <v>97</v>
      </c>
      <c r="R559" s="10" t="s">
        <v>234</v>
      </c>
      <c r="S559" s="11" t="s">
        <v>3357</v>
      </c>
      <c r="T559" s="6"/>
      <c r="U559" s="28" t="str">
        <f>HYPERLINK("https://media.infra-m.ru/1914/1914552/cover/1914552.jpg", "Обложка")</f>
        <v>Обложка</v>
      </c>
      <c r="V559" s="28" t="str">
        <f>HYPERLINK("https://znanium.ru/catalog/product/1914552", "Ознакомиться")</f>
        <v>Ознакомиться</v>
      </c>
      <c r="W559" s="8" t="s">
        <v>119</v>
      </c>
      <c r="X559" s="6"/>
      <c r="Y559" s="6"/>
      <c r="Z559" s="6"/>
      <c r="AA559" s="6" t="s">
        <v>312</v>
      </c>
    </row>
    <row r="560" spans="1:27" s="4" customFormat="1" ht="42" customHeight="1">
      <c r="A560" s="5">
        <v>0</v>
      </c>
      <c r="B560" s="6" t="s">
        <v>3358</v>
      </c>
      <c r="C560" s="13">
        <v>584.9</v>
      </c>
      <c r="D560" s="8" t="s">
        <v>3359</v>
      </c>
      <c r="E560" s="8" t="s">
        <v>3360</v>
      </c>
      <c r="F560" s="8" t="s">
        <v>3361</v>
      </c>
      <c r="G560" s="6" t="s">
        <v>53</v>
      </c>
      <c r="H560" s="6" t="s">
        <v>54</v>
      </c>
      <c r="I560" s="8"/>
      <c r="J560" s="9">
        <v>1</v>
      </c>
      <c r="K560" s="9">
        <v>172</v>
      </c>
      <c r="L560" s="9">
        <v>2020</v>
      </c>
      <c r="M560" s="8" t="s">
        <v>3362</v>
      </c>
      <c r="N560" s="8" t="s">
        <v>41</v>
      </c>
      <c r="O560" s="8" t="s">
        <v>42</v>
      </c>
      <c r="P560" s="6" t="s">
        <v>78</v>
      </c>
      <c r="Q560" s="8" t="s">
        <v>97</v>
      </c>
      <c r="R560" s="10" t="s">
        <v>558</v>
      </c>
      <c r="S560" s="11"/>
      <c r="T560" s="6"/>
      <c r="U560" s="28" t="str">
        <f>HYPERLINK("https://media.infra-m.ru/1044/1044580/cover/1044580.jpg", "Обложка")</f>
        <v>Обложка</v>
      </c>
      <c r="V560" s="28" t="str">
        <f>HYPERLINK("https://znanium.ru/catalog/product/947682", "Ознакомиться")</f>
        <v>Ознакомиться</v>
      </c>
      <c r="W560" s="8" t="s">
        <v>2344</v>
      </c>
      <c r="X560" s="6"/>
      <c r="Y560" s="6"/>
      <c r="Z560" s="6"/>
      <c r="AA560" s="6" t="s">
        <v>82</v>
      </c>
    </row>
    <row r="561" spans="1:27" s="4" customFormat="1" ht="51.95" customHeight="1">
      <c r="A561" s="5">
        <v>0</v>
      </c>
      <c r="B561" s="6" t="s">
        <v>3363</v>
      </c>
      <c r="C561" s="13">
        <v>794.9</v>
      </c>
      <c r="D561" s="8" t="s">
        <v>3364</v>
      </c>
      <c r="E561" s="8" t="s">
        <v>3365</v>
      </c>
      <c r="F561" s="8" t="s">
        <v>3366</v>
      </c>
      <c r="G561" s="6" t="s">
        <v>37</v>
      </c>
      <c r="H561" s="6" t="s">
        <v>132</v>
      </c>
      <c r="I561" s="8"/>
      <c r="J561" s="9">
        <v>1</v>
      </c>
      <c r="K561" s="9">
        <v>208</v>
      </c>
      <c r="L561" s="9">
        <v>2022</v>
      </c>
      <c r="M561" s="8" t="s">
        <v>3367</v>
      </c>
      <c r="N561" s="8" t="s">
        <v>41</v>
      </c>
      <c r="O561" s="8" t="s">
        <v>42</v>
      </c>
      <c r="P561" s="6" t="s">
        <v>66</v>
      </c>
      <c r="Q561" s="8" t="s">
        <v>97</v>
      </c>
      <c r="R561" s="10" t="s">
        <v>378</v>
      </c>
      <c r="S561" s="11" t="s">
        <v>158</v>
      </c>
      <c r="T561" s="6"/>
      <c r="U561" s="28" t="str">
        <f>HYPERLINK("https://media.infra-m.ru/1856/1856725/cover/1856725.jpg", "Обложка")</f>
        <v>Обложка</v>
      </c>
      <c r="V561" s="28" t="str">
        <f>HYPERLINK("https://znanium.ru/catalog/product/929653", "Ознакомиться")</f>
        <v>Ознакомиться</v>
      </c>
      <c r="W561" s="8" t="s">
        <v>3368</v>
      </c>
      <c r="X561" s="6"/>
      <c r="Y561" s="6"/>
      <c r="Z561" s="6"/>
      <c r="AA561" s="6" t="s">
        <v>473</v>
      </c>
    </row>
    <row r="562" spans="1:27" s="4" customFormat="1" ht="51.95" customHeight="1">
      <c r="A562" s="5">
        <v>0</v>
      </c>
      <c r="B562" s="6" t="s">
        <v>3369</v>
      </c>
      <c r="C562" s="7">
        <v>1364</v>
      </c>
      <c r="D562" s="8" t="s">
        <v>3370</v>
      </c>
      <c r="E562" s="8" t="s">
        <v>3371</v>
      </c>
      <c r="F562" s="8" t="s">
        <v>3372</v>
      </c>
      <c r="G562" s="6" t="s">
        <v>37</v>
      </c>
      <c r="H562" s="6" t="s">
        <v>132</v>
      </c>
      <c r="I562" s="8"/>
      <c r="J562" s="9">
        <v>1</v>
      </c>
      <c r="K562" s="9">
        <v>302</v>
      </c>
      <c r="L562" s="9">
        <v>2023</v>
      </c>
      <c r="M562" s="8" t="s">
        <v>3373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3374</v>
      </c>
      <c r="S562" s="11"/>
      <c r="T562" s="6"/>
      <c r="U562" s="28" t="str">
        <f>HYPERLINK("https://media.infra-m.ru/2044/2044354/cover/2044354.jpg", "Обложка")</f>
        <v>Обложка</v>
      </c>
      <c r="V562" s="28" t="str">
        <f>HYPERLINK("https://znanium.ru/catalog/product/2044354", "Ознакомиться")</f>
        <v>Ознакомиться</v>
      </c>
      <c r="W562" s="8" t="s">
        <v>893</v>
      </c>
      <c r="X562" s="6"/>
      <c r="Y562" s="6"/>
      <c r="Z562" s="6"/>
      <c r="AA562" s="6" t="s">
        <v>258</v>
      </c>
    </row>
    <row r="563" spans="1:27" s="4" customFormat="1" ht="51.95" customHeight="1">
      <c r="A563" s="5">
        <v>0</v>
      </c>
      <c r="B563" s="6" t="s">
        <v>3375</v>
      </c>
      <c r="C563" s="7">
        <v>1650</v>
      </c>
      <c r="D563" s="8" t="s">
        <v>3376</v>
      </c>
      <c r="E563" s="8" t="s">
        <v>3377</v>
      </c>
      <c r="F563" s="8" t="s">
        <v>3378</v>
      </c>
      <c r="G563" s="6" t="s">
        <v>75</v>
      </c>
      <c r="H563" s="6" t="s">
        <v>38</v>
      </c>
      <c r="I563" s="8" t="s">
        <v>94</v>
      </c>
      <c r="J563" s="9">
        <v>1</v>
      </c>
      <c r="K563" s="9">
        <v>365</v>
      </c>
      <c r="L563" s="9">
        <v>2023</v>
      </c>
      <c r="M563" s="8" t="s">
        <v>3379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426</v>
      </c>
      <c r="S563" s="11" t="s">
        <v>99</v>
      </c>
      <c r="T563" s="6" t="s">
        <v>151</v>
      </c>
      <c r="U563" s="28" t="str">
        <f>HYPERLINK("https://media.infra-m.ru/1913/1913242/cover/1913242.jpg", "Обложка")</f>
        <v>Обложка</v>
      </c>
      <c r="V563" s="28" t="str">
        <f>HYPERLINK("https://znanium.ru/catalog/product/1913242", "Ознакомиться")</f>
        <v>Ознакомиться</v>
      </c>
      <c r="W563" s="8"/>
      <c r="X563" s="6"/>
      <c r="Y563" s="6"/>
      <c r="Z563" s="6"/>
      <c r="AA563" s="6" t="s">
        <v>251</v>
      </c>
    </row>
    <row r="564" spans="1:27" s="4" customFormat="1" ht="51.95" customHeight="1">
      <c r="A564" s="5">
        <v>0</v>
      </c>
      <c r="B564" s="6" t="s">
        <v>3380</v>
      </c>
      <c r="C564" s="13">
        <v>754.9</v>
      </c>
      <c r="D564" s="8" t="s">
        <v>3381</v>
      </c>
      <c r="E564" s="8" t="s">
        <v>3382</v>
      </c>
      <c r="F564" s="8" t="s">
        <v>3378</v>
      </c>
      <c r="G564" s="6" t="s">
        <v>37</v>
      </c>
      <c r="H564" s="6" t="s">
        <v>38</v>
      </c>
      <c r="I564" s="8" t="s">
        <v>94</v>
      </c>
      <c r="J564" s="9">
        <v>20</v>
      </c>
      <c r="K564" s="9">
        <v>345</v>
      </c>
      <c r="L564" s="9">
        <v>2016</v>
      </c>
      <c r="M564" s="8" t="s">
        <v>3383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426</v>
      </c>
      <c r="S564" s="11" t="s">
        <v>99</v>
      </c>
      <c r="T564" s="6"/>
      <c r="U564" s="28" t="str">
        <f>HYPERLINK("https://media.infra-m.ru/0566/0566280/cover/566280.jpg", "Обложка")</f>
        <v>Обложка</v>
      </c>
      <c r="V564" s="28" t="str">
        <f>HYPERLINK("https://znanium.ru/catalog/product/1913242", "Ознакомиться")</f>
        <v>Ознакомиться</v>
      </c>
      <c r="W564" s="8"/>
      <c r="X564" s="6"/>
      <c r="Y564" s="6"/>
      <c r="Z564" s="6"/>
      <c r="AA564" s="6" t="s">
        <v>101</v>
      </c>
    </row>
    <row r="565" spans="1:27" s="4" customFormat="1" ht="51.95" customHeight="1">
      <c r="A565" s="5">
        <v>0</v>
      </c>
      <c r="B565" s="6" t="s">
        <v>3384</v>
      </c>
      <c r="C565" s="7">
        <v>1420</v>
      </c>
      <c r="D565" s="8" t="s">
        <v>3385</v>
      </c>
      <c r="E565" s="8" t="s">
        <v>3386</v>
      </c>
      <c r="F565" s="8" t="s">
        <v>3387</v>
      </c>
      <c r="G565" s="6" t="s">
        <v>75</v>
      </c>
      <c r="H565" s="6" t="s">
        <v>38</v>
      </c>
      <c r="I565" s="8" t="s">
        <v>94</v>
      </c>
      <c r="J565" s="9">
        <v>1</v>
      </c>
      <c r="K565" s="9">
        <v>308</v>
      </c>
      <c r="L565" s="9">
        <v>2023</v>
      </c>
      <c r="M565" s="8" t="s">
        <v>3388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1426</v>
      </c>
      <c r="S565" s="11" t="s">
        <v>3389</v>
      </c>
      <c r="T565" s="6"/>
      <c r="U565" s="28" t="str">
        <f>HYPERLINK("https://media.infra-m.ru/1981/1981608/cover/1981608.jpg", "Обложка")</f>
        <v>Обложка</v>
      </c>
      <c r="V565" s="28" t="str">
        <f>HYPERLINK("https://znanium.ru/catalog/product/1981608", "Ознакомиться")</f>
        <v>Ознакомиться</v>
      </c>
      <c r="W565" s="8" t="s">
        <v>2870</v>
      </c>
      <c r="X565" s="6"/>
      <c r="Y565" s="6"/>
      <c r="Z565" s="6"/>
      <c r="AA565" s="6" t="s">
        <v>251</v>
      </c>
    </row>
    <row r="566" spans="1:27" s="4" customFormat="1" ht="51.95" customHeight="1">
      <c r="A566" s="5">
        <v>0</v>
      </c>
      <c r="B566" s="6" t="s">
        <v>3390</v>
      </c>
      <c r="C566" s="13">
        <v>934.9</v>
      </c>
      <c r="D566" s="8" t="s">
        <v>3391</v>
      </c>
      <c r="E566" s="8" t="s">
        <v>3392</v>
      </c>
      <c r="F566" s="8" t="s">
        <v>3387</v>
      </c>
      <c r="G566" s="6" t="s">
        <v>37</v>
      </c>
      <c r="H566" s="6" t="s">
        <v>38</v>
      </c>
      <c r="I566" s="8" t="s">
        <v>94</v>
      </c>
      <c r="J566" s="9">
        <v>1</v>
      </c>
      <c r="K566" s="9">
        <v>298</v>
      </c>
      <c r="L566" s="9">
        <v>2018</v>
      </c>
      <c r="M566" s="8" t="s">
        <v>3393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1426</v>
      </c>
      <c r="S566" s="11" t="s">
        <v>3394</v>
      </c>
      <c r="T566" s="6"/>
      <c r="U566" s="28" t="str">
        <f>HYPERLINK("https://media.infra-m.ru/0971/0971373/cover/971373.jpg", "Обложка")</f>
        <v>Обложка</v>
      </c>
      <c r="V566" s="28" t="str">
        <f>HYPERLINK("https://znanium.ru/catalog/product/1981608", "Ознакомиться")</f>
        <v>Ознакомиться</v>
      </c>
      <c r="W566" s="8" t="s">
        <v>2870</v>
      </c>
      <c r="X566" s="6"/>
      <c r="Y566" s="6"/>
      <c r="Z566" s="6"/>
      <c r="AA566" s="6" t="s">
        <v>321</v>
      </c>
    </row>
    <row r="567" spans="1:27" s="4" customFormat="1" ht="42" customHeight="1">
      <c r="A567" s="5">
        <v>0</v>
      </c>
      <c r="B567" s="6" t="s">
        <v>3395</v>
      </c>
      <c r="C567" s="7">
        <v>1664</v>
      </c>
      <c r="D567" s="8" t="s">
        <v>3396</v>
      </c>
      <c r="E567" s="8" t="s">
        <v>3397</v>
      </c>
      <c r="F567" s="8" t="s">
        <v>3398</v>
      </c>
      <c r="G567" s="6" t="s">
        <v>37</v>
      </c>
      <c r="H567" s="6" t="s">
        <v>352</v>
      </c>
      <c r="I567" s="8"/>
      <c r="J567" s="9">
        <v>1</v>
      </c>
      <c r="K567" s="9">
        <v>368</v>
      </c>
      <c r="L567" s="9">
        <v>2023</v>
      </c>
      <c r="M567" s="8" t="s">
        <v>3399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3400</v>
      </c>
      <c r="S567" s="11"/>
      <c r="T567" s="6"/>
      <c r="U567" s="28" t="str">
        <f>HYPERLINK("https://media.infra-m.ru/1841/1841687/cover/1841687.jpg", "Обложка")</f>
        <v>Обложка</v>
      </c>
      <c r="V567" s="28" t="str">
        <f>HYPERLINK("https://znanium.ru/catalog/product/933875", "Ознакомиться")</f>
        <v>Ознакомиться</v>
      </c>
      <c r="W567" s="8" t="s">
        <v>582</v>
      </c>
      <c r="X567" s="6"/>
      <c r="Y567" s="6"/>
      <c r="Z567" s="6"/>
      <c r="AA567" s="6" t="s">
        <v>613</v>
      </c>
    </row>
    <row r="568" spans="1:27" s="4" customFormat="1" ht="51.95" customHeight="1">
      <c r="A568" s="5">
        <v>0</v>
      </c>
      <c r="B568" s="6" t="s">
        <v>3401</v>
      </c>
      <c r="C568" s="13">
        <v>270</v>
      </c>
      <c r="D568" s="8" t="s">
        <v>3402</v>
      </c>
      <c r="E568" s="8" t="s">
        <v>3403</v>
      </c>
      <c r="F568" s="8" t="s">
        <v>3404</v>
      </c>
      <c r="G568" s="6" t="s">
        <v>53</v>
      </c>
      <c r="H568" s="6" t="s">
        <v>38</v>
      </c>
      <c r="I568" s="8" t="s">
        <v>94</v>
      </c>
      <c r="J568" s="9">
        <v>1</v>
      </c>
      <c r="K568" s="9">
        <v>88</v>
      </c>
      <c r="L568" s="9">
        <v>2019</v>
      </c>
      <c r="M568" s="8" t="s">
        <v>3405</v>
      </c>
      <c r="N568" s="8" t="s">
        <v>41</v>
      </c>
      <c r="O568" s="8" t="s">
        <v>42</v>
      </c>
      <c r="P568" s="6" t="s">
        <v>66</v>
      </c>
      <c r="Q568" s="8" t="s">
        <v>97</v>
      </c>
      <c r="R568" s="10" t="s">
        <v>654</v>
      </c>
      <c r="S568" s="11" t="s">
        <v>3406</v>
      </c>
      <c r="T568" s="6" t="s">
        <v>151</v>
      </c>
      <c r="U568" s="12"/>
      <c r="V568" s="28" t="str">
        <f>HYPERLINK("https://znanium.ru/catalog/product/1893763", "Ознакомиться")</f>
        <v>Ознакомиться</v>
      </c>
      <c r="W568" s="8" t="s">
        <v>119</v>
      </c>
      <c r="X568" s="6"/>
      <c r="Y568" s="6"/>
      <c r="Z568" s="6"/>
      <c r="AA568" s="6" t="s">
        <v>613</v>
      </c>
    </row>
    <row r="569" spans="1:27" s="4" customFormat="1" ht="51.95" customHeight="1">
      <c r="A569" s="5">
        <v>0</v>
      </c>
      <c r="B569" s="6" t="s">
        <v>3407</v>
      </c>
      <c r="C569" s="13">
        <v>660</v>
      </c>
      <c r="D569" s="8" t="s">
        <v>3408</v>
      </c>
      <c r="E569" s="8" t="s">
        <v>3409</v>
      </c>
      <c r="F569" s="8" t="s">
        <v>3410</v>
      </c>
      <c r="G569" s="6" t="s">
        <v>75</v>
      </c>
      <c r="H569" s="6" t="s">
        <v>38</v>
      </c>
      <c r="I569" s="8" t="s">
        <v>192</v>
      </c>
      <c r="J569" s="9">
        <v>1</v>
      </c>
      <c r="K569" s="9">
        <v>132</v>
      </c>
      <c r="L569" s="9">
        <v>2023</v>
      </c>
      <c r="M569" s="8" t="s">
        <v>3411</v>
      </c>
      <c r="N569" s="8" t="s">
        <v>41</v>
      </c>
      <c r="O569" s="8" t="s">
        <v>42</v>
      </c>
      <c r="P569" s="6" t="s">
        <v>66</v>
      </c>
      <c r="Q569" s="8" t="s">
        <v>141</v>
      </c>
      <c r="R569" s="10" t="s">
        <v>654</v>
      </c>
      <c r="S569" s="11" t="s">
        <v>3412</v>
      </c>
      <c r="T569" s="6" t="s">
        <v>151</v>
      </c>
      <c r="U569" s="28" t="str">
        <f>HYPERLINK("https://media.infra-m.ru/2073/2073431/cover/2073431.jpg", "Обложка")</f>
        <v>Обложка</v>
      </c>
      <c r="V569" s="28" t="str">
        <f>HYPERLINK("https://znanium.ru/catalog/product/1893763", "Ознакомиться")</f>
        <v>Ознакомиться</v>
      </c>
      <c r="W569" s="8" t="s">
        <v>119</v>
      </c>
      <c r="X569" s="6"/>
      <c r="Y569" s="6"/>
      <c r="Z569" s="6"/>
      <c r="AA569" s="6" t="s">
        <v>445</v>
      </c>
    </row>
    <row r="570" spans="1:27" s="4" customFormat="1" ht="42" customHeight="1">
      <c r="A570" s="5">
        <v>0</v>
      </c>
      <c r="B570" s="6" t="s">
        <v>3413</v>
      </c>
      <c r="C570" s="7">
        <v>1064.9000000000001</v>
      </c>
      <c r="D570" s="8" t="s">
        <v>3414</v>
      </c>
      <c r="E570" s="8" t="s">
        <v>3415</v>
      </c>
      <c r="F570" s="8" t="s">
        <v>3416</v>
      </c>
      <c r="G570" s="6" t="s">
        <v>37</v>
      </c>
      <c r="H570" s="6" t="s">
        <v>352</v>
      </c>
      <c r="I570" s="8"/>
      <c r="J570" s="9">
        <v>1</v>
      </c>
      <c r="K570" s="9">
        <v>272</v>
      </c>
      <c r="L570" s="9">
        <v>2022</v>
      </c>
      <c r="M570" s="8" t="s">
        <v>3417</v>
      </c>
      <c r="N570" s="8" t="s">
        <v>41</v>
      </c>
      <c r="O570" s="8" t="s">
        <v>42</v>
      </c>
      <c r="P570" s="6" t="s">
        <v>43</v>
      </c>
      <c r="Q570" s="8" t="s">
        <v>44</v>
      </c>
      <c r="R570" s="10" t="s">
        <v>107</v>
      </c>
      <c r="S570" s="11"/>
      <c r="T570" s="6"/>
      <c r="U570" s="28" t="str">
        <f>HYPERLINK("https://media.infra-m.ru/1844/1844302/cover/1844302.jpg", "Обложка")</f>
        <v>Обложка</v>
      </c>
      <c r="V570" s="28" t="str">
        <f>HYPERLINK("https://znanium.ru/catalog/product/1844302", "Ознакомиться")</f>
        <v>Ознакомиться</v>
      </c>
      <c r="W570" s="8" t="s">
        <v>496</v>
      </c>
      <c r="X570" s="6"/>
      <c r="Y570" s="6"/>
      <c r="Z570" s="6"/>
      <c r="AA570" s="6" t="s">
        <v>59</v>
      </c>
    </row>
    <row r="571" spans="1:27" s="4" customFormat="1" ht="51.95" customHeight="1">
      <c r="A571" s="5">
        <v>0</v>
      </c>
      <c r="B571" s="6" t="s">
        <v>3418</v>
      </c>
      <c r="C571" s="13">
        <v>634.9</v>
      </c>
      <c r="D571" s="8" t="s">
        <v>3419</v>
      </c>
      <c r="E571" s="8" t="s">
        <v>3420</v>
      </c>
      <c r="F571" s="8" t="s">
        <v>3421</v>
      </c>
      <c r="G571" s="6" t="s">
        <v>53</v>
      </c>
      <c r="H571" s="6" t="s">
        <v>38</v>
      </c>
      <c r="I571" s="8" t="s">
        <v>94</v>
      </c>
      <c r="J571" s="9">
        <v>1</v>
      </c>
      <c r="K571" s="9">
        <v>141</v>
      </c>
      <c r="L571" s="9">
        <v>2023</v>
      </c>
      <c r="M571" s="8" t="s">
        <v>3422</v>
      </c>
      <c r="N571" s="8" t="s">
        <v>41</v>
      </c>
      <c r="O571" s="8" t="s">
        <v>96</v>
      </c>
      <c r="P571" s="6" t="s">
        <v>66</v>
      </c>
      <c r="Q571" s="8" t="s">
        <v>97</v>
      </c>
      <c r="R571" s="10" t="s">
        <v>3423</v>
      </c>
      <c r="S571" s="11"/>
      <c r="T571" s="6"/>
      <c r="U571" s="28" t="str">
        <f>HYPERLINK("https://media.infra-m.ru/1981/1981699/cover/1981699.jpg", "Обложка")</f>
        <v>Обложка</v>
      </c>
      <c r="V571" s="28" t="str">
        <f>HYPERLINK("https://znanium.ru/catalog/product/1062671", "Ознакомиться")</f>
        <v>Ознакомиться</v>
      </c>
      <c r="W571" s="8" t="s">
        <v>1855</v>
      </c>
      <c r="X571" s="6"/>
      <c r="Y571" s="6"/>
      <c r="Z571" s="6"/>
      <c r="AA571" s="6" t="s">
        <v>59</v>
      </c>
    </row>
    <row r="572" spans="1:27" s="4" customFormat="1" ht="51.95" customHeight="1">
      <c r="A572" s="5">
        <v>0</v>
      </c>
      <c r="B572" s="6" t="s">
        <v>3424</v>
      </c>
      <c r="C572" s="13">
        <v>449.9</v>
      </c>
      <c r="D572" s="8" t="s">
        <v>3425</v>
      </c>
      <c r="E572" s="8" t="s">
        <v>3426</v>
      </c>
      <c r="F572" s="8" t="s">
        <v>3427</v>
      </c>
      <c r="G572" s="6" t="s">
        <v>37</v>
      </c>
      <c r="H572" s="6" t="s">
        <v>38</v>
      </c>
      <c r="I572" s="8" t="s">
        <v>39</v>
      </c>
      <c r="J572" s="9">
        <v>16</v>
      </c>
      <c r="K572" s="9">
        <v>238</v>
      </c>
      <c r="L572" s="9">
        <v>2015</v>
      </c>
      <c r="M572" s="8" t="s">
        <v>3428</v>
      </c>
      <c r="N572" s="8" t="s">
        <v>41</v>
      </c>
      <c r="O572" s="8" t="s">
        <v>42</v>
      </c>
      <c r="P572" s="6" t="s">
        <v>43</v>
      </c>
      <c r="Q572" s="8" t="s">
        <v>44</v>
      </c>
      <c r="R572" s="10" t="s">
        <v>179</v>
      </c>
      <c r="S572" s="11"/>
      <c r="T572" s="6"/>
      <c r="U572" s="28" t="str">
        <f>HYPERLINK("https://media.infra-m.ru/0471/0471624/cover/471624.jpg", "Обложка")</f>
        <v>Обложка</v>
      </c>
      <c r="V572" s="28" t="str">
        <f>HYPERLINK("https://znanium.ru/catalog/product/471624", "Ознакомиться")</f>
        <v>Ознакомиться</v>
      </c>
      <c r="W572" s="8" t="s">
        <v>1786</v>
      </c>
      <c r="X572" s="6"/>
      <c r="Y572" s="6"/>
      <c r="Z572" s="6"/>
      <c r="AA572" s="6" t="s">
        <v>101</v>
      </c>
    </row>
    <row r="573" spans="1:27" s="4" customFormat="1" ht="42" customHeight="1">
      <c r="A573" s="5">
        <v>0</v>
      </c>
      <c r="B573" s="6" t="s">
        <v>3429</v>
      </c>
      <c r="C573" s="7">
        <v>1490</v>
      </c>
      <c r="D573" s="8" t="s">
        <v>3430</v>
      </c>
      <c r="E573" s="8" t="s">
        <v>3431</v>
      </c>
      <c r="F573" s="8" t="s">
        <v>208</v>
      </c>
      <c r="G573" s="6" t="s">
        <v>37</v>
      </c>
      <c r="H573" s="6" t="s">
        <v>38</v>
      </c>
      <c r="I573" s="8" t="s">
        <v>76</v>
      </c>
      <c r="J573" s="9">
        <v>1</v>
      </c>
      <c r="K573" s="9">
        <v>316</v>
      </c>
      <c r="L573" s="9">
        <v>2024</v>
      </c>
      <c r="M573" s="8" t="s">
        <v>3432</v>
      </c>
      <c r="N573" s="8" t="s">
        <v>41</v>
      </c>
      <c r="O573" s="8" t="s">
        <v>42</v>
      </c>
      <c r="P573" s="6" t="s">
        <v>78</v>
      </c>
      <c r="Q573" s="8" t="s">
        <v>67</v>
      </c>
      <c r="R573" s="10" t="s">
        <v>2979</v>
      </c>
      <c r="S573" s="11"/>
      <c r="T573" s="6"/>
      <c r="U573" s="28" t="str">
        <f>HYPERLINK("https://media.infra-m.ru/1908/1908969/cover/1908969.jpg", "Обложка")</f>
        <v>Обложка</v>
      </c>
      <c r="V573" s="28" t="str">
        <f>HYPERLINK("https://znanium.ru/catalog/product/1908969", "Ознакомиться")</f>
        <v>Ознакомиться</v>
      </c>
      <c r="W573" s="8" t="s">
        <v>46</v>
      </c>
      <c r="X573" s="6" t="s">
        <v>2795</v>
      </c>
      <c r="Y573" s="6"/>
      <c r="Z573" s="6"/>
      <c r="AA573" s="6" t="s">
        <v>48</v>
      </c>
    </row>
    <row r="574" spans="1:27" s="4" customFormat="1" ht="44.1" customHeight="1">
      <c r="A574" s="5">
        <v>0</v>
      </c>
      <c r="B574" s="6" t="s">
        <v>3433</v>
      </c>
      <c r="C574" s="13">
        <v>480</v>
      </c>
      <c r="D574" s="8" t="s">
        <v>3434</v>
      </c>
      <c r="E574" s="8" t="s">
        <v>3435</v>
      </c>
      <c r="F574" s="8" t="s">
        <v>3436</v>
      </c>
      <c r="G574" s="6" t="s">
        <v>53</v>
      </c>
      <c r="H574" s="6" t="s">
        <v>64</v>
      </c>
      <c r="I574" s="8"/>
      <c r="J574" s="9">
        <v>1</v>
      </c>
      <c r="K574" s="9">
        <v>104</v>
      </c>
      <c r="L574" s="9">
        <v>2023</v>
      </c>
      <c r="M574" s="8" t="s">
        <v>3437</v>
      </c>
      <c r="N574" s="8" t="s">
        <v>41</v>
      </c>
      <c r="O574" s="8" t="s">
        <v>42</v>
      </c>
      <c r="P574" s="6" t="s">
        <v>43</v>
      </c>
      <c r="Q574" s="8" t="s">
        <v>44</v>
      </c>
      <c r="R574" s="10" t="s">
        <v>3438</v>
      </c>
      <c r="S574" s="11"/>
      <c r="T574" s="6"/>
      <c r="U574" s="28" t="str">
        <f>HYPERLINK("https://media.infra-m.ru/1864/1864374/cover/1864374.jpg", "Обложка")</f>
        <v>Обложка</v>
      </c>
      <c r="V574" s="28" t="str">
        <f>HYPERLINK("https://znanium.ru/catalog/product/1864374", "Ознакомиться")</f>
        <v>Ознакомиться</v>
      </c>
      <c r="W574" s="8" t="s">
        <v>1199</v>
      </c>
      <c r="X574" s="6"/>
      <c r="Y574" s="6"/>
      <c r="Z574" s="6"/>
      <c r="AA574" s="6" t="s">
        <v>405</v>
      </c>
    </row>
    <row r="575" spans="1:27" s="4" customFormat="1" ht="42" customHeight="1">
      <c r="A575" s="5">
        <v>0</v>
      </c>
      <c r="B575" s="6" t="s">
        <v>3439</v>
      </c>
      <c r="C575" s="7">
        <v>1070</v>
      </c>
      <c r="D575" s="8" t="s">
        <v>3440</v>
      </c>
      <c r="E575" s="8" t="s">
        <v>3441</v>
      </c>
      <c r="F575" s="8" t="s">
        <v>3442</v>
      </c>
      <c r="G575" s="6" t="s">
        <v>75</v>
      </c>
      <c r="H575" s="6" t="s">
        <v>38</v>
      </c>
      <c r="I575" s="8" t="s">
        <v>192</v>
      </c>
      <c r="J575" s="9">
        <v>1</v>
      </c>
      <c r="K575" s="9">
        <v>225</v>
      </c>
      <c r="L575" s="9">
        <v>2023</v>
      </c>
      <c r="M575" s="8" t="s">
        <v>3443</v>
      </c>
      <c r="N575" s="8" t="s">
        <v>41</v>
      </c>
      <c r="O575" s="8" t="s">
        <v>42</v>
      </c>
      <c r="P575" s="6" t="s">
        <v>66</v>
      </c>
      <c r="Q575" s="8" t="s">
        <v>97</v>
      </c>
      <c r="R575" s="10" t="s">
        <v>1969</v>
      </c>
      <c r="S575" s="11"/>
      <c r="T575" s="6"/>
      <c r="U575" s="28" t="str">
        <f>HYPERLINK("https://media.infra-m.ru/2126/2126503/cover/2126503.jpg", "Обложка")</f>
        <v>Обложка</v>
      </c>
      <c r="V575" s="28" t="str">
        <f>HYPERLINK("https://znanium.ru/catalog/product/2110953", "Ознакомиться")</f>
        <v>Ознакомиться</v>
      </c>
      <c r="W575" s="8" t="s">
        <v>1217</v>
      </c>
      <c r="X575" s="6"/>
      <c r="Y575" s="6"/>
      <c r="Z575" s="6"/>
      <c r="AA575" s="6" t="s">
        <v>120</v>
      </c>
    </row>
    <row r="576" spans="1:27" s="4" customFormat="1" ht="51.95" customHeight="1">
      <c r="A576" s="5">
        <v>0</v>
      </c>
      <c r="B576" s="6" t="s">
        <v>3444</v>
      </c>
      <c r="C576" s="13">
        <v>734</v>
      </c>
      <c r="D576" s="8" t="s">
        <v>3445</v>
      </c>
      <c r="E576" s="8" t="s">
        <v>3446</v>
      </c>
      <c r="F576" s="8" t="s">
        <v>3447</v>
      </c>
      <c r="G576" s="6" t="s">
        <v>37</v>
      </c>
      <c r="H576" s="6" t="s">
        <v>38</v>
      </c>
      <c r="I576" s="8" t="s">
        <v>94</v>
      </c>
      <c r="J576" s="9">
        <v>1</v>
      </c>
      <c r="K576" s="9">
        <v>160</v>
      </c>
      <c r="L576" s="9">
        <v>2024</v>
      </c>
      <c r="M576" s="8" t="s">
        <v>3448</v>
      </c>
      <c r="N576" s="8" t="s">
        <v>1897</v>
      </c>
      <c r="O576" s="8" t="s">
        <v>1898</v>
      </c>
      <c r="P576" s="6" t="s">
        <v>66</v>
      </c>
      <c r="Q576" s="8" t="s">
        <v>97</v>
      </c>
      <c r="R576" s="10" t="s">
        <v>542</v>
      </c>
      <c r="S576" s="11" t="s">
        <v>3449</v>
      </c>
      <c r="T576" s="6"/>
      <c r="U576" s="28" t="str">
        <f>HYPERLINK("https://media.infra-m.ru/2103/2103127/cover/2103127.jpg", "Обложка")</f>
        <v>Обложка</v>
      </c>
      <c r="V576" s="28" t="str">
        <f>HYPERLINK("https://znanium.ru/catalog/product/1044508", "Ознакомиться")</f>
        <v>Ознакомиться</v>
      </c>
      <c r="W576" s="8" t="s">
        <v>46</v>
      </c>
      <c r="X576" s="6"/>
      <c r="Y576" s="6"/>
      <c r="Z576" s="6"/>
      <c r="AA576" s="6" t="s">
        <v>59</v>
      </c>
    </row>
    <row r="577" spans="1:27" s="4" customFormat="1" ht="51.95" customHeight="1">
      <c r="A577" s="5">
        <v>0</v>
      </c>
      <c r="B577" s="6" t="s">
        <v>3450</v>
      </c>
      <c r="C577" s="7">
        <v>2214</v>
      </c>
      <c r="D577" s="8" t="s">
        <v>3451</v>
      </c>
      <c r="E577" s="8" t="s">
        <v>3446</v>
      </c>
      <c r="F577" s="8" t="s">
        <v>3452</v>
      </c>
      <c r="G577" s="6" t="s">
        <v>75</v>
      </c>
      <c r="H577" s="6" t="s">
        <v>38</v>
      </c>
      <c r="I577" s="8" t="s">
        <v>76</v>
      </c>
      <c r="J577" s="9">
        <v>1</v>
      </c>
      <c r="K577" s="9">
        <v>481</v>
      </c>
      <c r="L577" s="9">
        <v>2024</v>
      </c>
      <c r="M577" s="8" t="s">
        <v>3453</v>
      </c>
      <c r="N577" s="8" t="s">
        <v>41</v>
      </c>
      <c r="O577" s="8" t="s">
        <v>42</v>
      </c>
      <c r="P577" s="6" t="s">
        <v>66</v>
      </c>
      <c r="Q577" s="8" t="s">
        <v>67</v>
      </c>
      <c r="R577" s="10" t="s">
        <v>3454</v>
      </c>
      <c r="S577" s="11" t="s">
        <v>3455</v>
      </c>
      <c r="T577" s="6"/>
      <c r="U577" s="28" t="str">
        <f>HYPERLINK("https://media.infra-m.ru/2126/2126338/cover/2126338.jpg", "Обложка")</f>
        <v>Обложка</v>
      </c>
      <c r="V577" s="28" t="str">
        <f>HYPERLINK("https://znanium.ru/catalog/product/1873256", "Ознакомиться")</f>
        <v>Ознакомиться</v>
      </c>
      <c r="W577" s="8" t="s">
        <v>119</v>
      </c>
      <c r="X577" s="6"/>
      <c r="Y577" s="6"/>
      <c r="Z577" s="6"/>
      <c r="AA577" s="6" t="s">
        <v>101</v>
      </c>
    </row>
    <row r="578" spans="1:27" s="4" customFormat="1" ht="51.95" customHeight="1">
      <c r="A578" s="5">
        <v>0</v>
      </c>
      <c r="B578" s="6" t="s">
        <v>3456</v>
      </c>
      <c r="C578" s="13">
        <v>740</v>
      </c>
      <c r="D578" s="8" t="s">
        <v>3457</v>
      </c>
      <c r="E578" s="8" t="s">
        <v>3458</v>
      </c>
      <c r="F578" s="8" t="s">
        <v>3459</v>
      </c>
      <c r="G578" s="6" t="s">
        <v>53</v>
      </c>
      <c r="H578" s="6" t="s">
        <v>38</v>
      </c>
      <c r="I578" s="8" t="s">
        <v>39</v>
      </c>
      <c r="J578" s="9">
        <v>1</v>
      </c>
      <c r="K578" s="9">
        <v>230</v>
      </c>
      <c r="L578" s="9">
        <v>2018</v>
      </c>
      <c r="M578" s="8" t="s">
        <v>3460</v>
      </c>
      <c r="N578" s="8" t="s">
        <v>41</v>
      </c>
      <c r="O578" s="8" t="s">
        <v>42</v>
      </c>
      <c r="P578" s="6" t="s">
        <v>43</v>
      </c>
      <c r="Q578" s="8" t="s">
        <v>44</v>
      </c>
      <c r="R578" s="10" t="s">
        <v>3461</v>
      </c>
      <c r="S578" s="11"/>
      <c r="T578" s="6"/>
      <c r="U578" s="28" t="str">
        <f>HYPERLINK("https://media.infra-m.ru/0973/0973389/cover/973389.jpg", "Обложка")</f>
        <v>Обложка</v>
      </c>
      <c r="V578" s="28" t="str">
        <f>HYPERLINK("https://znanium.ru/catalog/product/973389", "Ознакомиться")</f>
        <v>Ознакомиться</v>
      </c>
      <c r="W578" s="8" t="s">
        <v>1643</v>
      </c>
      <c r="X578" s="6"/>
      <c r="Y578" s="6"/>
      <c r="Z578" s="6"/>
      <c r="AA578" s="6" t="s">
        <v>59</v>
      </c>
    </row>
    <row r="579" spans="1:27" s="4" customFormat="1" ht="51.95" customHeight="1">
      <c r="A579" s="5">
        <v>0</v>
      </c>
      <c r="B579" s="6" t="s">
        <v>3462</v>
      </c>
      <c r="C579" s="7">
        <v>1200</v>
      </c>
      <c r="D579" s="8" t="s">
        <v>3463</v>
      </c>
      <c r="E579" s="8" t="s">
        <v>3464</v>
      </c>
      <c r="F579" s="8" t="s">
        <v>208</v>
      </c>
      <c r="G579" s="6" t="s">
        <v>37</v>
      </c>
      <c r="H579" s="6" t="s">
        <v>38</v>
      </c>
      <c r="I579" s="8" t="s">
        <v>3465</v>
      </c>
      <c r="J579" s="9">
        <v>1</v>
      </c>
      <c r="K579" s="9">
        <v>258</v>
      </c>
      <c r="L579" s="9">
        <v>2024</v>
      </c>
      <c r="M579" s="8" t="s">
        <v>3466</v>
      </c>
      <c r="N579" s="8" t="s">
        <v>41</v>
      </c>
      <c r="O579" s="8" t="s">
        <v>96</v>
      </c>
      <c r="P579" s="6" t="s">
        <v>78</v>
      </c>
      <c r="Q579" s="8" t="s">
        <v>67</v>
      </c>
      <c r="R579" s="10" t="s">
        <v>3467</v>
      </c>
      <c r="S579" s="11" t="s">
        <v>3468</v>
      </c>
      <c r="T579" s="6"/>
      <c r="U579" s="28" t="str">
        <f>HYPERLINK("https://media.infra-m.ru/1989/1989243/cover/1989243.jpg", "Обложка")</f>
        <v>Обложка</v>
      </c>
      <c r="V579" s="28" t="str">
        <f>HYPERLINK("https://znanium.ru/catalog/product/1989243", "Ознакомиться")</f>
        <v>Ознакомиться</v>
      </c>
      <c r="W579" s="8" t="s">
        <v>46</v>
      </c>
      <c r="X579" s="6" t="s">
        <v>2444</v>
      </c>
      <c r="Y579" s="6" t="s">
        <v>30</v>
      </c>
      <c r="Z579" s="6"/>
      <c r="AA579" s="6" t="s">
        <v>613</v>
      </c>
    </row>
    <row r="580" spans="1:27" s="4" customFormat="1" ht="51.95" customHeight="1">
      <c r="A580" s="5">
        <v>0</v>
      </c>
      <c r="B580" s="6" t="s">
        <v>3469</v>
      </c>
      <c r="C580" s="7">
        <v>1214.9000000000001</v>
      </c>
      <c r="D580" s="8" t="s">
        <v>3470</v>
      </c>
      <c r="E580" s="8" t="s">
        <v>3471</v>
      </c>
      <c r="F580" s="8" t="s">
        <v>3472</v>
      </c>
      <c r="G580" s="6" t="s">
        <v>37</v>
      </c>
      <c r="H580" s="6" t="s">
        <v>38</v>
      </c>
      <c r="I580" s="8" t="s">
        <v>94</v>
      </c>
      <c r="J580" s="9">
        <v>1</v>
      </c>
      <c r="K580" s="9">
        <v>269</v>
      </c>
      <c r="L580" s="9">
        <v>2023</v>
      </c>
      <c r="M580" s="8" t="s">
        <v>3473</v>
      </c>
      <c r="N580" s="8" t="s">
        <v>41</v>
      </c>
      <c r="O580" s="8" t="s">
        <v>96</v>
      </c>
      <c r="P580" s="6" t="s">
        <v>66</v>
      </c>
      <c r="Q580" s="8" t="s">
        <v>97</v>
      </c>
      <c r="R580" s="10" t="s">
        <v>149</v>
      </c>
      <c r="S580" s="11" t="s">
        <v>3474</v>
      </c>
      <c r="T580" s="6"/>
      <c r="U580" s="28" t="str">
        <f>HYPERLINK("https://media.infra-m.ru/1911/1911184/cover/1911184.jpg", "Обложка")</f>
        <v>Обложка</v>
      </c>
      <c r="V580" s="28" t="str">
        <f>HYPERLINK("https://znanium.ru/catalog/product/1254303", "Ознакомиться")</f>
        <v>Ознакомиться</v>
      </c>
      <c r="W580" s="8" t="s">
        <v>404</v>
      </c>
      <c r="X580" s="6"/>
      <c r="Y580" s="6"/>
      <c r="Z580" s="6"/>
      <c r="AA580" s="6" t="s">
        <v>101</v>
      </c>
    </row>
    <row r="581" spans="1:27" s="4" customFormat="1" ht="51.95" customHeight="1">
      <c r="A581" s="5">
        <v>0</v>
      </c>
      <c r="B581" s="6" t="s">
        <v>3475</v>
      </c>
      <c r="C581" s="7">
        <v>1234</v>
      </c>
      <c r="D581" s="8" t="s">
        <v>3476</v>
      </c>
      <c r="E581" s="8" t="s">
        <v>3477</v>
      </c>
      <c r="F581" s="8" t="s">
        <v>3478</v>
      </c>
      <c r="G581" s="6" t="s">
        <v>37</v>
      </c>
      <c r="H581" s="6" t="s">
        <v>38</v>
      </c>
      <c r="I581" s="8" t="s">
        <v>94</v>
      </c>
      <c r="J581" s="9">
        <v>1</v>
      </c>
      <c r="K581" s="9">
        <v>272</v>
      </c>
      <c r="L581" s="9">
        <v>2023</v>
      </c>
      <c r="M581" s="8" t="s">
        <v>3479</v>
      </c>
      <c r="N581" s="8" t="s">
        <v>41</v>
      </c>
      <c r="O581" s="8" t="s">
        <v>42</v>
      </c>
      <c r="P581" s="6" t="s">
        <v>66</v>
      </c>
      <c r="Q581" s="8" t="s">
        <v>97</v>
      </c>
      <c r="R581" s="10" t="s">
        <v>558</v>
      </c>
      <c r="S581" s="11" t="s">
        <v>3480</v>
      </c>
      <c r="T581" s="6"/>
      <c r="U581" s="28" t="str">
        <f>HYPERLINK("https://media.infra-m.ru/2021/2021418/cover/2021418.jpg", "Обложка")</f>
        <v>Обложка</v>
      </c>
      <c r="V581" s="28" t="str">
        <f>HYPERLINK("https://znanium.ru/catalog/product/2021418", "Ознакомиться")</f>
        <v>Ознакомиться</v>
      </c>
      <c r="W581" s="8" t="s">
        <v>2225</v>
      </c>
      <c r="X581" s="6"/>
      <c r="Y581" s="6"/>
      <c r="Z581" s="6"/>
      <c r="AA581" s="6" t="s">
        <v>1135</v>
      </c>
    </row>
    <row r="582" spans="1:27" s="4" customFormat="1" ht="51.95" customHeight="1">
      <c r="A582" s="5">
        <v>0</v>
      </c>
      <c r="B582" s="6" t="s">
        <v>3481</v>
      </c>
      <c r="C582" s="13">
        <v>530</v>
      </c>
      <c r="D582" s="8" t="s">
        <v>3482</v>
      </c>
      <c r="E582" s="8" t="s">
        <v>3483</v>
      </c>
      <c r="F582" s="8" t="s">
        <v>3484</v>
      </c>
      <c r="G582" s="6" t="s">
        <v>53</v>
      </c>
      <c r="H582" s="6" t="s">
        <v>38</v>
      </c>
      <c r="I582" s="8" t="s">
        <v>199</v>
      </c>
      <c r="J582" s="9">
        <v>1</v>
      </c>
      <c r="K582" s="9">
        <v>112</v>
      </c>
      <c r="L582" s="9">
        <v>2023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201</v>
      </c>
      <c r="R582" s="10" t="s">
        <v>3486</v>
      </c>
      <c r="S582" s="11" t="s">
        <v>3487</v>
      </c>
      <c r="T582" s="6"/>
      <c r="U582" s="28" t="str">
        <f>HYPERLINK("https://media.infra-m.ru/1998/1998740/cover/1998740.jpg", "Обложка")</f>
        <v>Обложка</v>
      </c>
      <c r="V582" s="28" t="str">
        <f>HYPERLINK("https://znanium.ru/catalog/product/1998740", "Ознакомиться")</f>
        <v>Ознакомиться</v>
      </c>
      <c r="W582" s="8" t="s">
        <v>1907</v>
      </c>
      <c r="X582" s="6"/>
      <c r="Y582" s="6"/>
      <c r="Z582" s="6" t="s">
        <v>204</v>
      </c>
      <c r="AA582" s="6" t="s">
        <v>811</v>
      </c>
    </row>
    <row r="583" spans="1:27" s="4" customFormat="1" ht="51.95" customHeight="1">
      <c r="A583" s="5">
        <v>0</v>
      </c>
      <c r="B583" s="6" t="s">
        <v>3488</v>
      </c>
      <c r="C583" s="13">
        <v>644</v>
      </c>
      <c r="D583" s="8" t="s">
        <v>3489</v>
      </c>
      <c r="E583" s="8" t="s">
        <v>3483</v>
      </c>
      <c r="F583" s="8" t="s">
        <v>3484</v>
      </c>
      <c r="G583" s="6" t="s">
        <v>75</v>
      </c>
      <c r="H583" s="6" t="s">
        <v>38</v>
      </c>
      <c r="I583" s="8" t="s">
        <v>224</v>
      </c>
      <c r="J583" s="9">
        <v>1</v>
      </c>
      <c r="K583" s="9">
        <v>112</v>
      </c>
      <c r="L583" s="9">
        <v>2024</v>
      </c>
      <c r="M583" s="8" t="s">
        <v>3490</v>
      </c>
      <c r="N583" s="8" t="s">
        <v>41</v>
      </c>
      <c r="O583" s="8" t="s">
        <v>42</v>
      </c>
      <c r="P583" s="6" t="s">
        <v>66</v>
      </c>
      <c r="Q583" s="8" t="s">
        <v>97</v>
      </c>
      <c r="R583" s="10" t="s">
        <v>3491</v>
      </c>
      <c r="S583" s="11" t="s">
        <v>3492</v>
      </c>
      <c r="T583" s="6"/>
      <c r="U583" s="28" t="str">
        <f>HYPERLINK("https://media.infra-m.ru/2129/2129185/cover/2129185.jpg", "Обложка")</f>
        <v>Обложка</v>
      </c>
      <c r="V583" s="28" t="str">
        <f>HYPERLINK("https://znanium.ru/catalog/product/1904578", "Ознакомиться")</f>
        <v>Ознакомиться</v>
      </c>
      <c r="W583" s="8" t="s">
        <v>1907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3493</v>
      </c>
      <c r="C584" s="13">
        <v>320</v>
      </c>
      <c r="D584" s="8" t="s">
        <v>3494</v>
      </c>
      <c r="E584" s="8" t="s">
        <v>3495</v>
      </c>
      <c r="F584" s="8" t="s">
        <v>3496</v>
      </c>
      <c r="G584" s="6" t="s">
        <v>53</v>
      </c>
      <c r="H584" s="6" t="s">
        <v>132</v>
      </c>
      <c r="I584" s="8"/>
      <c r="J584" s="9">
        <v>1</v>
      </c>
      <c r="K584" s="9">
        <v>96</v>
      </c>
      <c r="L584" s="9">
        <v>2018</v>
      </c>
      <c r="M584" s="8" t="s">
        <v>3497</v>
      </c>
      <c r="N584" s="8" t="s">
        <v>41</v>
      </c>
      <c r="O584" s="8" t="s">
        <v>42</v>
      </c>
      <c r="P584" s="6" t="s">
        <v>66</v>
      </c>
      <c r="Q584" s="8" t="s">
        <v>97</v>
      </c>
      <c r="R584" s="10" t="s">
        <v>3491</v>
      </c>
      <c r="S584" s="11"/>
      <c r="T584" s="6"/>
      <c r="U584" s="28" t="str">
        <f>HYPERLINK("https://media.infra-m.ru/0945/0945891/cover/945891.jpg", "Обложка")</f>
        <v>Обложка</v>
      </c>
      <c r="V584" s="28" t="str">
        <f>HYPERLINK("https://znanium.ru/catalog/product/1904578", "Ознакомиться")</f>
        <v>Ознакомиться</v>
      </c>
      <c r="W584" s="8" t="s">
        <v>1907</v>
      </c>
      <c r="X584" s="6"/>
      <c r="Y584" s="6"/>
      <c r="Z584" s="6"/>
      <c r="AA584" s="6" t="s">
        <v>89</v>
      </c>
    </row>
    <row r="585" spans="1:27" s="4" customFormat="1" ht="51.95" customHeight="1">
      <c r="A585" s="5">
        <v>0</v>
      </c>
      <c r="B585" s="6" t="s">
        <v>3498</v>
      </c>
      <c r="C585" s="7">
        <v>2320</v>
      </c>
      <c r="D585" s="8" t="s">
        <v>3499</v>
      </c>
      <c r="E585" s="8" t="s">
        <v>3500</v>
      </c>
      <c r="F585" s="8" t="s">
        <v>3501</v>
      </c>
      <c r="G585" s="6" t="s">
        <v>37</v>
      </c>
      <c r="H585" s="6" t="s">
        <v>64</v>
      </c>
      <c r="I585" s="8"/>
      <c r="J585" s="9">
        <v>1</v>
      </c>
      <c r="K585" s="9">
        <v>504</v>
      </c>
      <c r="L585" s="9">
        <v>2023</v>
      </c>
      <c r="M585" s="8" t="s">
        <v>3502</v>
      </c>
      <c r="N585" s="8" t="s">
        <v>41</v>
      </c>
      <c r="O585" s="8" t="s">
        <v>56</v>
      </c>
      <c r="P585" s="6" t="s">
        <v>78</v>
      </c>
      <c r="Q585" s="8" t="s">
        <v>97</v>
      </c>
      <c r="R585" s="10" t="s">
        <v>3503</v>
      </c>
      <c r="S585" s="11"/>
      <c r="T585" s="6"/>
      <c r="U585" s="28" t="str">
        <f>HYPERLINK("https://media.infra-m.ru/2053/2053974/cover/2053974.jpg", "Обложка")</f>
        <v>Обложка</v>
      </c>
      <c r="V585" s="28" t="str">
        <f>HYPERLINK("https://znanium.ru/catalog/product/2123355", "Ознакомиться")</f>
        <v>Ознакомиться</v>
      </c>
      <c r="W585" s="8" t="s">
        <v>186</v>
      </c>
      <c r="X585" s="6"/>
      <c r="Y585" s="6"/>
      <c r="Z585" s="6"/>
      <c r="AA585" s="6" t="s">
        <v>3504</v>
      </c>
    </row>
    <row r="586" spans="1:27" s="4" customFormat="1" ht="51.95" customHeight="1">
      <c r="A586" s="5">
        <v>0</v>
      </c>
      <c r="B586" s="6" t="s">
        <v>3505</v>
      </c>
      <c r="C586" s="7">
        <v>2620</v>
      </c>
      <c r="D586" s="8" t="s">
        <v>3506</v>
      </c>
      <c r="E586" s="8" t="s">
        <v>3507</v>
      </c>
      <c r="F586" s="8" t="s">
        <v>3501</v>
      </c>
      <c r="G586" s="6" t="s">
        <v>37</v>
      </c>
      <c r="H586" s="6" t="s">
        <v>64</v>
      </c>
      <c r="I586" s="8"/>
      <c r="J586" s="9">
        <v>1</v>
      </c>
      <c r="K586" s="9">
        <v>568</v>
      </c>
      <c r="L586" s="9">
        <v>2024</v>
      </c>
      <c r="M586" s="8" t="s">
        <v>3508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3503</v>
      </c>
      <c r="S586" s="11"/>
      <c r="T586" s="6"/>
      <c r="U586" s="28" t="str">
        <f>HYPERLINK("https://media.infra-m.ru/2123/2123355/cover/2123355.jpg",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 t="s">
        <v>47</v>
      </c>
      <c r="Y586" s="6"/>
      <c r="Z586" s="6"/>
      <c r="AA586" s="6" t="s">
        <v>3509</v>
      </c>
    </row>
    <row r="587" spans="1:27" s="4" customFormat="1" ht="51.95" customHeight="1">
      <c r="A587" s="5">
        <v>0</v>
      </c>
      <c r="B587" s="6" t="s">
        <v>3510</v>
      </c>
      <c r="C587" s="13">
        <v>874.9</v>
      </c>
      <c r="D587" s="8" t="s">
        <v>3511</v>
      </c>
      <c r="E587" s="8" t="s">
        <v>3512</v>
      </c>
      <c r="F587" s="8" t="s">
        <v>3513</v>
      </c>
      <c r="G587" s="6" t="s">
        <v>37</v>
      </c>
      <c r="H587" s="6" t="s">
        <v>64</v>
      </c>
      <c r="I587" s="8"/>
      <c r="J587" s="9">
        <v>1</v>
      </c>
      <c r="K587" s="9">
        <v>624</v>
      </c>
      <c r="L587" s="9">
        <v>2016</v>
      </c>
      <c r="M587" s="8" t="s">
        <v>3514</v>
      </c>
      <c r="N587" s="8" t="s">
        <v>41</v>
      </c>
      <c r="O587" s="8" t="s">
        <v>56</v>
      </c>
      <c r="P587" s="6" t="s">
        <v>78</v>
      </c>
      <c r="Q587" s="8" t="s">
        <v>97</v>
      </c>
      <c r="R587" s="10" t="s">
        <v>3503</v>
      </c>
      <c r="S587" s="11"/>
      <c r="T587" s="6"/>
      <c r="U587" s="28" t="str">
        <f>HYPERLINK("https://media.infra-m.ru/0552/0552513/cover/552513.jpg", "Обложка")</f>
        <v>Обложка</v>
      </c>
      <c r="V587" s="28" t="str">
        <f>HYPERLINK("https://znanium.ru/catalog/product/2123355", "Ознакомиться")</f>
        <v>Ознакомиться</v>
      </c>
      <c r="W587" s="8" t="s">
        <v>186</v>
      </c>
      <c r="X587" s="6"/>
      <c r="Y587" s="6"/>
      <c r="Z587" s="6"/>
      <c r="AA587" s="6" t="s">
        <v>3515</v>
      </c>
    </row>
    <row r="588" spans="1:27" s="4" customFormat="1" ht="42" customHeight="1">
      <c r="A588" s="5">
        <v>0</v>
      </c>
      <c r="B588" s="6" t="s">
        <v>3516</v>
      </c>
      <c r="C588" s="7">
        <v>1224.9000000000001</v>
      </c>
      <c r="D588" s="8" t="s">
        <v>3517</v>
      </c>
      <c r="E588" s="8" t="s">
        <v>3518</v>
      </c>
      <c r="F588" s="8" t="s">
        <v>3519</v>
      </c>
      <c r="G588" s="6" t="s">
        <v>75</v>
      </c>
      <c r="H588" s="6" t="s">
        <v>64</v>
      </c>
      <c r="I588" s="8" t="s">
        <v>3520</v>
      </c>
      <c r="J588" s="9">
        <v>1</v>
      </c>
      <c r="K588" s="9">
        <v>272</v>
      </c>
      <c r="L588" s="9">
        <v>2023</v>
      </c>
      <c r="M588" s="8" t="s">
        <v>3521</v>
      </c>
      <c r="N588" s="8" t="s">
        <v>41</v>
      </c>
      <c r="O588" s="8" t="s">
        <v>56</v>
      </c>
      <c r="P588" s="6" t="s">
        <v>78</v>
      </c>
      <c r="Q588" s="8" t="s">
        <v>201</v>
      </c>
      <c r="R588" s="10" t="s">
        <v>2171</v>
      </c>
      <c r="S588" s="11"/>
      <c r="T588" s="6"/>
      <c r="U588" s="28" t="str">
        <f>HYPERLINK("https://media.infra-m.ru/1893/1893953/cover/1893953.jpg", "Обложка")</f>
        <v>Обложка</v>
      </c>
      <c r="V588" s="28" t="str">
        <f>HYPERLINK("https://znanium.ru/catalog/product/2066409", "Ознакомиться")</f>
        <v>Ознакомиться</v>
      </c>
      <c r="W588" s="8" t="s">
        <v>69</v>
      </c>
      <c r="X588" s="6"/>
      <c r="Y588" s="6"/>
      <c r="Z588" s="6"/>
      <c r="AA588" s="6" t="s">
        <v>3522</v>
      </c>
    </row>
    <row r="589" spans="1:27" s="4" customFormat="1" ht="42" customHeight="1">
      <c r="A589" s="5">
        <v>0</v>
      </c>
      <c r="B589" s="6" t="s">
        <v>3523</v>
      </c>
      <c r="C589" s="7">
        <v>1220</v>
      </c>
      <c r="D589" s="8" t="s">
        <v>3524</v>
      </c>
      <c r="E589" s="8" t="s">
        <v>3525</v>
      </c>
      <c r="F589" s="8" t="s">
        <v>3519</v>
      </c>
      <c r="G589" s="6" t="s">
        <v>75</v>
      </c>
      <c r="H589" s="6" t="s">
        <v>64</v>
      </c>
      <c r="I589" s="8" t="s">
        <v>3520</v>
      </c>
      <c r="J589" s="9">
        <v>1</v>
      </c>
      <c r="K589" s="9">
        <v>256</v>
      </c>
      <c r="L589" s="9">
        <v>2023</v>
      </c>
      <c r="M589" s="8" t="s">
        <v>3526</v>
      </c>
      <c r="N589" s="8" t="s">
        <v>41</v>
      </c>
      <c r="O589" s="8" t="s">
        <v>56</v>
      </c>
      <c r="P589" s="6" t="s">
        <v>78</v>
      </c>
      <c r="Q589" s="8" t="s">
        <v>201</v>
      </c>
      <c r="R589" s="10" t="s">
        <v>2171</v>
      </c>
      <c r="S589" s="11"/>
      <c r="T589" s="6"/>
      <c r="U589" s="28" t="str">
        <f>HYPERLINK("https://media.infra-m.ru/2066/2066409/cover/2066409.jpg", "Обложка")</f>
        <v>Обложка</v>
      </c>
      <c r="V589" s="28" t="str">
        <f>HYPERLINK("https://znanium.ru/catalog/product/2066409", "Ознакомиться")</f>
        <v>Ознакомиться</v>
      </c>
      <c r="W589" s="8" t="s">
        <v>69</v>
      </c>
      <c r="X589" s="6" t="s">
        <v>2172</v>
      </c>
      <c r="Y589" s="6"/>
      <c r="Z589" s="6"/>
      <c r="AA589" s="6" t="s">
        <v>3527</v>
      </c>
    </row>
    <row r="590" spans="1:27" s="4" customFormat="1" ht="51.95" customHeight="1">
      <c r="A590" s="5">
        <v>0</v>
      </c>
      <c r="B590" s="6" t="s">
        <v>3528</v>
      </c>
      <c r="C590" s="7">
        <v>2074</v>
      </c>
      <c r="D590" s="8" t="s">
        <v>3529</v>
      </c>
      <c r="E590" s="8" t="s">
        <v>3530</v>
      </c>
      <c r="F590" s="8" t="s">
        <v>3531</v>
      </c>
      <c r="G590" s="6" t="s">
        <v>37</v>
      </c>
      <c r="H590" s="6" t="s">
        <v>64</v>
      </c>
      <c r="I590" s="8"/>
      <c r="J590" s="9">
        <v>1</v>
      </c>
      <c r="K590" s="9">
        <v>648</v>
      </c>
      <c r="L590" s="9">
        <v>2024</v>
      </c>
      <c r="M590" s="8" t="s">
        <v>3532</v>
      </c>
      <c r="N590" s="8" t="s">
        <v>41</v>
      </c>
      <c r="O590" s="8" t="s">
        <v>56</v>
      </c>
      <c r="P590" s="6" t="s">
        <v>78</v>
      </c>
      <c r="Q590" s="8" t="s">
        <v>97</v>
      </c>
      <c r="R590" s="10" t="s">
        <v>3533</v>
      </c>
      <c r="S590" s="11" t="s">
        <v>3534</v>
      </c>
      <c r="T590" s="6"/>
      <c r="U590" s="28" t="str">
        <f>HYPERLINK("https://media.infra-m.ru/1893/1893955/cover/1893955.jpg", "Обложка")</f>
        <v>Обложка</v>
      </c>
      <c r="V590" s="28" t="str">
        <f>HYPERLINK("https://znanium.ru/catalog/product/1092466", "Ознакомиться")</f>
        <v>Ознакомиться</v>
      </c>
      <c r="W590" s="8" t="s">
        <v>3535</v>
      </c>
      <c r="X590" s="6"/>
      <c r="Y590" s="6"/>
      <c r="Z590" s="6"/>
      <c r="AA590" s="6" t="s">
        <v>128</v>
      </c>
    </row>
    <row r="591" spans="1:27" s="4" customFormat="1" ht="51.95" customHeight="1">
      <c r="A591" s="5">
        <v>0</v>
      </c>
      <c r="B591" s="6" t="s">
        <v>3536</v>
      </c>
      <c r="C591" s="7">
        <v>2224</v>
      </c>
      <c r="D591" s="8" t="s">
        <v>3537</v>
      </c>
      <c r="E591" s="8" t="s">
        <v>3525</v>
      </c>
      <c r="F591" s="8" t="s">
        <v>3538</v>
      </c>
      <c r="G591" s="6" t="s">
        <v>75</v>
      </c>
      <c r="H591" s="6" t="s">
        <v>64</v>
      </c>
      <c r="I591" s="8"/>
      <c r="J591" s="9">
        <v>1</v>
      </c>
      <c r="K591" s="9">
        <v>800</v>
      </c>
      <c r="L591" s="9">
        <v>2023</v>
      </c>
      <c r="M591" s="8" t="s">
        <v>3539</v>
      </c>
      <c r="N591" s="8" t="s">
        <v>41</v>
      </c>
      <c r="O591" s="8" t="s">
        <v>56</v>
      </c>
      <c r="P591" s="6" t="s">
        <v>78</v>
      </c>
      <c r="Q591" s="8" t="s">
        <v>97</v>
      </c>
      <c r="R591" s="10" t="s">
        <v>1917</v>
      </c>
      <c r="S591" s="11" t="s">
        <v>3540</v>
      </c>
      <c r="T591" s="6"/>
      <c r="U591" s="28" t="str">
        <f>HYPERLINK("https://media.infra-m.ru/1906/1906068/cover/1906068.jpg", "Обложка")</f>
        <v>Обложка</v>
      </c>
      <c r="V591" s="28" t="str">
        <f>HYPERLINK("https://znanium.ru/catalog/product/1008406", "Ознакомиться")</f>
        <v>Ознакомиться</v>
      </c>
      <c r="W591" s="8" t="s">
        <v>3541</v>
      </c>
      <c r="X591" s="6"/>
      <c r="Y591" s="6"/>
      <c r="Z591" s="6"/>
      <c r="AA591" s="6" t="s">
        <v>3542</v>
      </c>
    </row>
    <row r="592" spans="1:27" s="4" customFormat="1" ht="51.95" customHeight="1">
      <c r="A592" s="5">
        <v>0</v>
      </c>
      <c r="B592" s="6" t="s">
        <v>3543</v>
      </c>
      <c r="C592" s="13">
        <v>800</v>
      </c>
      <c r="D592" s="8" t="s">
        <v>3544</v>
      </c>
      <c r="E592" s="8" t="s">
        <v>3545</v>
      </c>
      <c r="F592" s="8" t="s">
        <v>3546</v>
      </c>
      <c r="G592" s="6" t="s">
        <v>75</v>
      </c>
      <c r="H592" s="6" t="s">
        <v>54</v>
      </c>
      <c r="I592" s="8"/>
      <c r="J592" s="9">
        <v>1</v>
      </c>
      <c r="K592" s="9">
        <v>176</v>
      </c>
      <c r="L592" s="9">
        <v>2022</v>
      </c>
      <c r="M592" s="8" t="s">
        <v>3547</v>
      </c>
      <c r="N592" s="8" t="s">
        <v>41</v>
      </c>
      <c r="O592" s="8" t="s">
        <v>56</v>
      </c>
      <c r="P592" s="6" t="s">
        <v>66</v>
      </c>
      <c r="Q592" s="8" t="s">
        <v>97</v>
      </c>
      <c r="R592" s="10" t="s">
        <v>3548</v>
      </c>
      <c r="S592" s="11" t="s">
        <v>3549</v>
      </c>
      <c r="T592" s="6"/>
      <c r="U592" s="28" t="str">
        <f>HYPERLINK("https://media.infra-m.ru/1949/1949065/cover/1949065.jpg", "Обложка")</f>
        <v>Обложка</v>
      </c>
      <c r="V592" s="28" t="str">
        <f>HYPERLINK("https://znanium.ru/catalog/product/1911128", "Ознакомиться")</f>
        <v>Ознакомиться</v>
      </c>
      <c r="W592" s="8" t="s">
        <v>3550</v>
      </c>
      <c r="X592" s="6"/>
      <c r="Y592" s="6"/>
      <c r="Z592" s="6"/>
      <c r="AA592" s="6" t="s">
        <v>321</v>
      </c>
    </row>
    <row r="593" spans="1:27" s="4" customFormat="1" ht="51.95" customHeight="1">
      <c r="A593" s="5">
        <v>0</v>
      </c>
      <c r="B593" s="6" t="s">
        <v>3551</v>
      </c>
      <c r="C593" s="13">
        <v>974.9</v>
      </c>
      <c r="D593" s="8" t="s">
        <v>3552</v>
      </c>
      <c r="E593" s="8" t="s">
        <v>3553</v>
      </c>
      <c r="F593" s="8" t="s">
        <v>3554</v>
      </c>
      <c r="G593" s="6" t="s">
        <v>37</v>
      </c>
      <c r="H593" s="6" t="s">
        <v>333</v>
      </c>
      <c r="I593" s="8" t="s">
        <v>334</v>
      </c>
      <c r="J593" s="9">
        <v>1</v>
      </c>
      <c r="K593" s="9">
        <v>288</v>
      </c>
      <c r="L593" s="9">
        <v>2020</v>
      </c>
      <c r="M593" s="8" t="s">
        <v>3555</v>
      </c>
      <c r="N593" s="8" t="s">
        <v>41</v>
      </c>
      <c r="O593" s="8" t="s">
        <v>56</v>
      </c>
      <c r="P593" s="6" t="s">
        <v>66</v>
      </c>
      <c r="Q593" s="8" t="s">
        <v>201</v>
      </c>
      <c r="R593" s="10" t="s">
        <v>3556</v>
      </c>
      <c r="S593" s="11" t="s">
        <v>3557</v>
      </c>
      <c r="T593" s="6"/>
      <c r="U593" s="28" t="str">
        <f>HYPERLINK("https://media.infra-m.ru/1052/1052235/cover/1052235.jpg", "Обложка")</f>
        <v>Обложка</v>
      </c>
      <c r="V593" s="28" t="str">
        <f>HYPERLINK("https://znanium.ru/catalog/product/1052235", "Ознакомиться")</f>
        <v>Ознакомиться</v>
      </c>
      <c r="W593" s="8" t="s">
        <v>1565</v>
      </c>
      <c r="X593" s="6"/>
      <c r="Y593" s="6"/>
      <c r="Z593" s="6"/>
      <c r="AA593" s="6" t="s">
        <v>3558</v>
      </c>
    </row>
    <row r="594" spans="1:27" s="4" customFormat="1" ht="42" customHeight="1">
      <c r="A594" s="5">
        <v>0</v>
      </c>
      <c r="B594" s="6" t="s">
        <v>3559</v>
      </c>
      <c r="C594" s="7">
        <v>1084.9000000000001</v>
      </c>
      <c r="D594" s="8" t="s">
        <v>3560</v>
      </c>
      <c r="E594" s="8" t="s">
        <v>3561</v>
      </c>
      <c r="F594" s="8" t="s">
        <v>3562</v>
      </c>
      <c r="G594" s="6" t="s">
        <v>37</v>
      </c>
      <c r="H594" s="6" t="s">
        <v>1482</v>
      </c>
      <c r="I594" s="8" t="s">
        <v>394</v>
      </c>
      <c r="J594" s="9">
        <v>1</v>
      </c>
      <c r="K594" s="9">
        <v>240</v>
      </c>
      <c r="L594" s="9">
        <v>2023</v>
      </c>
      <c r="M594" s="8" t="s">
        <v>3563</v>
      </c>
      <c r="N594" s="8" t="s">
        <v>41</v>
      </c>
      <c r="O594" s="8" t="s">
        <v>96</v>
      </c>
      <c r="P594" s="6" t="s">
        <v>66</v>
      </c>
      <c r="Q594" s="8" t="s">
        <v>97</v>
      </c>
      <c r="R594" s="10" t="s">
        <v>3564</v>
      </c>
      <c r="S594" s="11"/>
      <c r="T594" s="6"/>
      <c r="U594" s="28" t="str">
        <f>HYPERLINK("https://media.infra-m.ru/1911/1911182/cover/1911182.jpg", "Обложка")</f>
        <v>Обложка</v>
      </c>
      <c r="V594" s="28" t="str">
        <f>HYPERLINK("https://znanium.ru/catalog/product/1003847", "Ознакомиться")</f>
        <v>Ознакомиться</v>
      </c>
      <c r="W594" s="8" t="s">
        <v>1477</v>
      </c>
      <c r="X594" s="6"/>
      <c r="Y594" s="6"/>
      <c r="Z594" s="6"/>
      <c r="AA594" s="6" t="s">
        <v>101</v>
      </c>
    </row>
    <row r="595" spans="1:27" s="4" customFormat="1" ht="42" customHeight="1">
      <c r="A595" s="5">
        <v>0</v>
      </c>
      <c r="B595" s="6" t="s">
        <v>3565</v>
      </c>
      <c r="C595" s="13">
        <v>534.9</v>
      </c>
      <c r="D595" s="8" t="s">
        <v>3566</v>
      </c>
      <c r="E595" s="8" t="s">
        <v>3567</v>
      </c>
      <c r="F595" s="8" t="s">
        <v>3568</v>
      </c>
      <c r="G595" s="6" t="s">
        <v>53</v>
      </c>
      <c r="H595" s="6" t="s">
        <v>38</v>
      </c>
      <c r="I595" s="8" t="s">
        <v>1614</v>
      </c>
      <c r="J595" s="9">
        <v>1</v>
      </c>
      <c r="K595" s="9">
        <v>152</v>
      </c>
      <c r="L595" s="9">
        <v>2020</v>
      </c>
      <c r="M595" s="8" t="s">
        <v>3569</v>
      </c>
      <c r="N595" s="8" t="s">
        <v>41</v>
      </c>
      <c r="O595" s="8" t="s">
        <v>56</v>
      </c>
      <c r="P595" s="6" t="s">
        <v>2493</v>
      </c>
      <c r="Q595" s="8" t="s">
        <v>44</v>
      </c>
      <c r="R595" s="10" t="s">
        <v>2333</v>
      </c>
      <c r="S595" s="11"/>
      <c r="T595" s="6"/>
      <c r="U595" s="28" t="str">
        <f>HYPERLINK("https://media.infra-m.ru/1047/1047149/cover/1047149.jpg", "Обложка")</f>
        <v>Обложка</v>
      </c>
      <c r="V595" s="28" t="str">
        <f>HYPERLINK("https://znanium.ru/catalog/product/1047149", "Ознакомиться")</f>
        <v>Ознакомиться</v>
      </c>
      <c r="W595" s="8" t="s">
        <v>1199</v>
      </c>
      <c r="X595" s="6"/>
      <c r="Y595" s="6"/>
      <c r="Z595" s="6"/>
      <c r="AA595" s="6" t="s">
        <v>89</v>
      </c>
    </row>
    <row r="596" spans="1:27" s="4" customFormat="1" ht="51.95" customHeight="1">
      <c r="A596" s="5">
        <v>0</v>
      </c>
      <c r="B596" s="6" t="s">
        <v>3570</v>
      </c>
      <c r="C596" s="7">
        <v>1024.9000000000001</v>
      </c>
      <c r="D596" s="8" t="s">
        <v>3571</v>
      </c>
      <c r="E596" s="8" t="s">
        <v>3572</v>
      </c>
      <c r="F596" s="8" t="s">
        <v>3573</v>
      </c>
      <c r="G596" s="6" t="s">
        <v>37</v>
      </c>
      <c r="H596" s="6" t="s">
        <v>54</v>
      </c>
      <c r="I596" s="8" t="s">
        <v>76</v>
      </c>
      <c r="J596" s="9">
        <v>1</v>
      </c>
      <c r="K596" s="9">
        <v>299</v>
      </c>
      <c r="L596" s="9">
        <v>2020</v>
      </c>
      <c r="M596" s="8" t="s">
        <v>3574</v>
      </c>
      <c r="N596" s="8" t="s">
        <v>41</v>
      </c>
      <c r="O596" s="8" t="s">
        <v>56</v>
      </c>
      <c r="P596" s="6" t="s">
        <v>66</v>
      </c>
      <c r="Q596" s="8" t="s">
        <v>97</v>
      </c>
      <c r="R596" s="10" t="s">
        <v>3575</v>
      </c>
      <c r="S596" s="11"/>
      <c r="T596" s="6"/>
      <c r="U596" s="28" t="str">
        <f>HYPERLINK("https://media.infra-m.ru/1036/1036581/cover/1036581.jpg", "Обложка")</f>
        <v>Обложка</v>
      </c>
      <c r="V596" s="28" t="str">
        <f>HYPERLINK("https://znanium.ru/catalog/product/1036581", "Ознакомиться")</f>
        <v>Ознакомиться</v>
      </c>
      <c r="W596" s="8" t="s">
        <v>1354</v>
      </c>
      <c r="X596" s="6"/>
      <c r="Y596" s="6"/>
      <c r="Z596" s="6"/>
      <c r="AA596" s="6" t="s">
        <v>258</v>
      </c>
    </row>
    <row r="597" spans="1:27" s="4" customFormat="1" ht="51.95" customHeight="1">
      <c r="A597" s="5">
        <v>0</v>
      </c>
      <c r="B597" s="6" t="s">
        <v>3576</v>
      </c>
      <c r="C597" s="7">
        <v>1874</v>
      </c>
      <c r="D597" s="8" t="s">
        <v>3577</v>
      </c>
      <c r="E597" s="8" t="s">
        <v>3578</v>
      </c>
      <c r="F597" s="8" t="s">
        <v>3579</v>
      </c>
      <c r="G597" s="6" t="s">
        <v>37</v>
      </c>
      <c r="H597" s="6" t="s">
        <v>38</v>
      </c>
      <c r="I597" s="8" t="s">
        <v>94</v>
      </c>
      <c r="J597" s="9">
        <v>1</v>
      </c>
      <c r="K597" s="9">
        <v>408</v>
      </c>
      <c r="L597" s="9">
        <v>2024</v>
      </c>
      <c r="M597" s="8" t="s">
        <v>3580</v>
      </c>
      <c r="N597" s="8" t="s">
        <v>1897</v>
      </c>
      <c r="O597" s="8" t="s">
        <v>1898</v>
      </c>
      <c r="P597" s="6" t="s">
        <v>66</v>
      </c>
      <c r="Q597" s="8" t="s">
        <v>97</v>
      </c>
      <c r="R597" s="10" t="s">
        <v>3581</v>
      </c>
      <c r="S597" s="11" t="s">
        <v>1826</v>
      </c>
      <c r="T597" s="6"/>
      <c r="U597" s="28" t="str">
        <f>HYPERLINK("https://media.infra-m.ru/2053/2053237/cover/2053237.jpg", "Обложка")</f>
        <v>Обложка</v>
      </c>
      <c r="V597" s="28" t="str">
        <f>HYPERLINK("https://znanium.ru/catalog/product/1228806", "Ознакомиться")</f>
        <v>Ознакомиться</v>
      </c>
      <c r="W597" s="8" t="s">
        <v>1565</v>
      </c>
      <c r="X597" s="6"/>
      <c r="Y597" s="6"/>
      <c r="Z597" s="6"/>
      <c r="AA597" s="6" t="s">
        <v>1932</v>
      </c>
    </row>
    <row r="598" spans="1:27" s="4" customFormat="1" ht="42" customHeight="1">
      <c r="A598" s="5">
        <v>0</v>
      </c>
      <c r="B598" s="6" t="s">
        <v>3582</v>
      </c>
      <c r="C598" s="7">
        <v>1200</v>
      </c>
      <c r="D598" s="8" t="s">
        <v>3583</v>
      </c>
      <c r="E598" s="8" t="s">
        <v>3584</v>
      </c>
      <c r="F598" s="8" t="s">
        <v>3585</v>
      </c>
      <c r="G598" s="6" t="s">
        <v>75</v>
      </c>
      <c r="H598" s="6" t="s">
        <v>54</v>
      </c>
      <c r="I598" s="8" t="s">
        <v>192</v>
      </c>
      <c r="J598" s="9">
        <v>1</v>
      </c>
      <c r="K598" s="9">
        <v>267</v>
      </c>
      <c r="L598" s="9">
        <v>2023</v>
      </c>
      <c r="M598" s="8" t="s">
        <v>3586</v>
      </c>
      <c r="N598" s="8" t="s">
        <v>41</v>
      </c>
      <c r="O598" s="8" t="s">
        <v>42</v>
      </c>
      <c r="P598" s="6" t="s">
        <v>66</v>
      </c>
      <c r="Q598" s="8" t="s">
        <v>141</v>
      </c>
      <c r="R598" s="10" t="s">
        <v>3587</v>
      </c>
      <c r="S598" s="11"/>
      <c r="T598" s="6"/>
      <c r="U598" s="28" t="str">
        <f>HYPERLINK("https://media.infra-m.ru/1939/1939084/cover/1939084.jpg", "Обложка")</f>
        <v>Обложка</v>
      </c>
      <c r="V598" s="28" t="str">
        <f>HYPERLINK("https://znanium.ru/catalog/product/1939084", "Ознакомиться")</f>
        <v>Ознакомиться</v>
      </c>
      <c r="W598" s="8" t="s">
        <v>1310</v>
      </c>
      <c r="X598" s="6"/>
      <c r="Y598" s="6"/>
      <c r="Z598" s="6"/>
      <c r="AA598" s="6" t="s">
        <v>82</v>
      </c>
    </row>
    <row r="599" spans="1:27" s="4" customFormat="1" ht="51.95" customHeight="1">
      <c r="A599" s="5">
        <v>0</v>
      </c>
      <c r="B599" s="6" t="s">
        <v>3588</v>
      </c>
      <c r="C599" s="7">
        <v>1444.9</v>
      </c>
      <c r="D599" s="8" t="s">
        <v>3589</v>
      </c>
      <c r="E599" s="8" t="s">
        <v>3590</v>
      </c>
      <c r="F599" s="8" t="s">
        <v>3591</v>
      </c>
      <c r="G599" s="6" t="s">
        <v>37</v>
      </c>
      <c r="H599" s="6" t="s">
        <v>38</v>
      </c>
      <c r="I599" s="8" t="s">
        <v>39</v>
      </c>
      <c r="J599" s="9">
        <v>1</v>
      </c>
      <c r="K599" s="9">
        <v>320</v>
      </c>
      <c r="L599" s="9">
        <v>2023</v>
      </c>
      <c r="M599" s="8" t="s">
        <v>3592</v>
      </c>
      <c r="N599" s="8" t="s">
        <v>41</v>
      </c>
      <c r="O599" s="8" t="s">
        <v>42</v>
      </c>
      <c r="P599" s="6" t="s">
        <v>43</v>
      </c>
      <c r="Q599" s="8" t="s">
        <v>44</v>
      </c>
      <c r="R599" s="10" t="s">
        <v>179</v>
      </c>
      <c r="S599" s="11"/>
      <c r="T599" s="6"/>
      <c r="U599" s="28" t="str">
        <f>HYPERLINK("https://media.infra-m.ru/1974/1974342/cover/1974342.jpg", "Обложка")</f>
        <v>Обложка</v>
      </c>
      <c r="V599" s="28" t="str">
        <f>HYPERLINK("https://znanium.ru/catalog/product/1085273", "Ознакомиться")</f>
        <v>Ознакомиться</v>
      </c>
      <c r="W599" s="8" t="s">
        <v>1786</v>
      </c>
      <c r="X599" s="6"/>
      <c r="Y599" s="6"/>
      <c r="Z599" s="6"/>
      <c r="AA599" s="6" t="s">
        <v>385</v>
      </c>
    </row>
    <row r="600" spans="1:27" s="4" customFormat="1" ht="51.95" customHeight="1">
      <c r="A600" s="5">
        <v>0</v>
      </c>
      <c r="B600" s="6" t="s">
        <v>3593</v>
      </c>
      <c r="C600" s="13">
        <v>454.9</v>
      </c>
      <c r="D600" s="8" t="s">
        <v>3594</v>
      </c>
      <c r="E600" s="8" t="s">
        <v>3595</v>
      </c>
      <c r="F600" s="8" t="s">
        <v>3442</v>
      </c>
      <c r="G600" s="6" t="s">
        <v>37</v>
      </c>
      <c r="H600" s="6" t="s">
        <v>38</v>
      </c>
      <c r="I600" s="8" t="s">
        <v>94</v>
      </c>
      <c r="J600" s="9">
        <v>1</v>
      </c>
      <c r="K600" s="9">
        <v>135</v>
      </c>
      <c r="L600" s="9">
        <v>2020</v>
      </c>
      <c r="M600" s="8" t="s">
        <v>3596</v>
      </c>
      <c r="N600" s="8" t="s">
        <v>41</v>
      </c>
      <c r="O600" s="8" t="s">
        <v>42</v>
      </c>
      <c r="P600" s="6" t="s">
        <v>66</v>
      </c>
      <c r="Q600" s="8" t="s">
        <v>97</v>
      </c>
      <c r="R600" s="10" t="s">
        <v>1109</v>
      </c>
      <c r="S600" s="11" t="s">
        <v>3597</v>
      </c>
      <c r="T600" s="6"/>
      <c r="U600" s="28" t="str">
        <f>HYPERLINK("https://media.infra-m.ru/1045/1045806/cover/1045806.jpg", "Обложка")</f>
        <v>Обложка</v>
      </c>
      <c r="V600" s="28" t="str">
        <f>HYPERLINK("https://znanium.ru/catalog/product/914116", "Ознакомиться")</f>
        <v>Ознакомиться</v>
      </c>
      <c r="W600" s="8" t="s">
        <v>1217</v>
      </c>
      <c r="X600" s="6"/>
      <c r="Y600" s="6"/>
      <c r="Z600" s="6"/>
      <c r="AA600" s="6" t="s">
        <v>213</v>
      </c>
    </row>
    <row r="601" spans="1:27" s="4" customFormat="1" ht="51.95" customHeight="1">
      <c r="A601" s="5">
        <v>0</v>
      </c>
      <c r="B601" s="6" t="s">
        <v>3598</v>
      </c>
      <c r="C601" s="13">
        <v>430</v>
      </c>
      <c r="D601" s="8" t="s">
        <v>3599</v>
      </c>
      <c r="E601" s="8" t="s">
        <v>3595</v>
      </c>
      <c r="F601" s="8" t="s">
        <v>3442</v>
      </c>
      <c r="G601" s="6" t="s">
        <v>37</v>
      </c>
      <c r="H601" s="6" t="s">
        <v>38</v>
      </c>
      <c r="I601" s="8" t="s">
        <v>199</v>
      </c>
      <c r="J601" s="9">
        <v>1</v>
      </c>
      <c r="K601" s="9">
        <v>135</v>
      </c>
      <c r="L601" s="9">
        <v>2019</v>
      </c>
      <c r="M601" s="8" t="s">
        <v>3600</v>
      </c>
      <c r="N601" s="8" t="s">
        <v>41</v>
      </c>
      <c r="O601" s="8" t="s">
        <v>42</v>
      </c>
      <c r="P601" s="6" t="s">
        <v>66</v>
      </c>
      <c r="Q601" s="8" t="s">
        <v>201</v>
      </c>
      <c r="R601" s="10" t="s">
        <v>3601</v>
      </c>
      <c r="S601" s="11" t="s">
        <v>3602</v>
      </c>
      <c r="T601" s="6"/>
      <c r="U601" s="28" t="str">
        <f>HYPERLINK("https://media.infra-m.ru/1029/1029651/cover/1029651.jpg", "Обложка")</f>
        <v>Обложка</v>
      </c>
      <c r="V601" s="28" t="str">
        <f>HYPERLINK("https://znanium.ru/catalog/product/1029651", "Ознакомиться")</f>
        <v>Ознакомиться</v>
      </c>
      <c r="W601" s="8" t="s">
        <v>1217</v>
      </c>
      <c r="X601" s="6"/>
      <c r="Y601" s="6"/>
      <c r="Z601" s="6" t="s">
        <v>204</v>
      </c>
      <c r="AA601" s="6" t="s">
        <v>173</v>
      </c>
    </row>
    <row r="602" spans="1:27" s="4" customFormat="1" ht="42" customHeight="1">
      <c r="A602" s="5">
        <v>0</v>
      </c>
      <c r="B602" s="6" t="s">
        <v>3603</v>
      </c>
      <c r="C602" s="13">
        <v>600</v>
      </c>
      <c r="D602" s="8" t="s">
        <v>3604</v>
      </c>
      <c r="E602" s="8" t="s">
        <v>3605</v>
      </c>
      <c r="F602" s="8" t="s">
        <v>3606</v>
      </c>
      <c r="G602" s="6" t="s">
        <v>53</v>
      </c>
      <c r="H602" s="6" t="s">
        <v>38</v>
      </c>
      <c r="I602" s="8" t="s">
        <v>39</v>
      </c>
      <c r="J602" s="9">
        <v>1</v>
      </c>
      <c r="K602" s="9">
        <v>151</v>
      </c>
      <c r="L602" s="9">
        <v>2020</v>
      </c>
      <c r="M602" s="8" t="s">
        <v>3607</v>
      </c>
      <c r="N602" s="8" t="s">
        <v>41</v>
      </c>
      <c r="O602" s="8" t="s">
        <v>96</v>
      </c>
      <c r="P602" s="6" t="s">
        <v>43</v>
      </c>
      <c r="Q602" s="8" t="s">
        <v>44</v>
      </c>
      <c r="R602" s="10" t="s">
        <v>853</v>
      </c>
      <c r="S602" s="11"/>
      <c r="T602" s="6"/>
      <c r="U602" s="28" t="str">
        <f>HYPERLINK("https://media.infra-m.ru/1094/1094558/cover/1094558.jpg", "Обложка")</f>
        <v>Обложка</v>
      </c>
      <c r="V602" s="28" t="str">
        <f>HYPERLINK("https://znanium.ru/catalog/product/1094558", "Ознакомиться")</f>
        <v>Ознакомиться</v>
      </c>
      <c r="W602" s="8" t="s">
        <v>119</v>
      </c>
      <c r="X602" s="6"/>
      <c r="Y602" s="6"/>
      <c r="Z602" s="6"/>
      <c r="AA602" s="6" t="s">
        <v>89</v>
      </c>
    </row>
    <row r="603" spans="1:27" s="4" customFormat="1" ht="44.1" customHeight="1">
      <c r="A603" s="5">
        <v>0</v>
      </c>
      <c r="B603" s="6" t="s">
        <v>3608</v>
      </c>
      <c r="C603" s="13">
        <v>880</v>
      </c>
      <c r="D603" s="8" t="s">
        <v>3609</v>
      </c>
      <c r="E603" s="8" t="s">
        <v>3610</v>
      </c>
      <c r="F603" s="8" t="s">
        <v>3611</v>
      </c>
      <c r="G603" s="6" t="s">
        <v>75</v>
      </c>
      <c r="H603" s="6" t="s">
        <v>38</v>
      </c>
      <c r="I603" s="8" t="s">
        <v>39</v>
      </c>
      <c r="J603" s="9">
        <v>1</v>
      </c>
      <c r="K603" s="9">
        <v>258</v>
      </c>
      <c r="L603" s="9">
        <v>2019</v>
      </c>
      <c r="M603" s="8" t="s">
        <v>3612</v>
      </c>
      <c r="N603" s="8" t="s">
        <v>41</v>
      </c>
      <c r="O603" s="8" t="s">
        <v>42</v>
      </c>
      <c r="P603" s="6" t="s">
        <v>43</v>
      </c>
      <c r="Q603" s="8" t="s">
        <v>44</v>
      </c>
      <c r="R603" s="10" t="s">
        <v>3613</v>
      </c>
      <c r="S603" s="11"/>
      <c r="T603" s="6"/>
      <c r="U603" s="28" t="str">
        <f>HYPERLINK("https://media.infra-m.ru/1034/1034139/cover/1034139.jpg", "Обложка")</f>
        <v>Обложка</v>
      </c>
      <c r="V603" s="28" t="str">
        <f>HYPERLINK("https://znanium.ru/catalog/product/1034139", "Ознакомиться")</f>
        <v>Ознакомиться</v>
      </c>
      <c r="W603" s="8" t="s">
        <v>3614</v>
      </c>
      <c r="X603" s="6"/>
      <c r="Y603" s="6"/>
      <c r="Z603" s="6"/>
      <c r="AA603" s="6" t="s">
        <v>89</v>
      </c>
    </row>
    <row r="604" spans="1:27" s="4" customFormat="1" ht="51.95" customHeight="1">
      <c r="A604" s="5">
        <v>0</v>
      </c>
      <c r="B604" s="6" t="s">
        <v>3615</v>
      </c>
      <c r="C604" s="7">
        <v>1454.9</v>
      </c>
      <c r="D604" s="8" t="s">
        <v>3616</v>
      </c>
      <c r="E604" s="8" t="s">
        <v>3617</v>
      </c>
      <c r="F604" s="8" t="s">
        <v>3618</v>
      </c>
      <c r="G604" s="6" t="s">
        <v>37</v>
      </c>
      <c r="H604" s="6" t="s">
        <v>362</v>
      </c>
      <c r="I604" s="8" t="s">
        <v>94</v>
      </c>
      <c r="J604" s="9">
        <v>1</v>
      </c>
      <c r="K604" s="9">
        <v>384</v>
      </c>
      <c r="L604" s="9">
        <v>2022</v>
      </c>
      <c r="M604" s="8" t="s">
        <v>3619</v>
      </c>
      <c r="N604" s="8" t="s">
        <v>41</v>
      </c>
      <c r="O604" s="8" t="s">
        <v>42</v>
      </c>
      <c r="P604" s="6" t="s">
        <v>66</v>
      </c>
      <c r="Q604" s="8" t="s">
        <v>97</v>
      </c>
      <c r="R604" s="10" t="s">
        <v>3613</v>
      </c>
      <c r="S604" s="11" t="s">
        <v>487</v>
      </c>
      <c r="T604" s="6"/>
      <c r="U604" s="28" t="str">
        <f>HYPERLINK("https://media.infra-m.ru/1861/1861792/cover/1861792.jpg", "Обложка")</f>
        <v>Обложка</v>
      </c>
      <c r="V604" s="28" t="str">
        <f>HYPERLINK("https://znanium.ru/catalog/product/1945432", "Ознакомиться")</f>
        <v>Ознакомиться</v>
      </c>
      <c r="W604" s="8" t="s">
        <v>1597</v>
      </c>
      <c r="X604" s="6"/>
      <c r="Y604" s="6"/>
      <c r="Z604" s="6"/>
      <c r="AA604" s="6" t="s">
        <v>89</v>
      </c>
    </row>
    <row r="605" spans="1:27" s="4" customFormat="1" ht="51.95" customHeight="1">
      <c r="A605" s="5">
        <v>0</v>
      </c>
      <c r="B605" s="6" t="s">
        <v>3620</v>
      </c>
      <c r="C605" s="13">
        <v>820</v>
      </c>
      <c r="D605" s="8" t="s">
        <v>3621</v>
      </c>
      <c r="E605" s="8" t="s">
        <v>3622</v>
      </c>
      <c r="F605" s="8" t="s">
        <v>3623</v>
      </c>
      <c r="G605" s="6" t="s">
        <v>75</v>
      </c>
      <c r="H605" s="6" t="s">
        <v>38</v>
      </c>
      <c r="I605" s="8" t="s">
        <v>139</v>
      </c>
      <c r="J605" s="9">
        <v>1</v>
      </c>
      <c r="K605" s="9">
        <v>168</v>
      </c>
      <c r="L605" s="9">
        <v>2023</v>
      </c>
      <c r="M605" s="8" t="s">
        <v>3624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149</v>
      </c>
      <c r="S605" s="11" t="s">
        <v>3625</v>
      </c>
      <c r="T605" s="6"/>
      <c r="U605" s="28" t="str">
        <f>HYPERLINK("https://media.infra-m.ru/2049/2049699/cover/2049699.jpg", "Обложка")</f>
        <v>Обложка</v>
      </c>
      <c r="V605" s="28" t="str">
        <f>HYPERLINK("https://znanium.ru/catalog/product/2049699", "Ознакомиться")</f>
        <v>Ознакомиться</v>
      </c>
      <c r="W605" s="8" t="s">
        <v>3626</v>
      </c>
      <c r="X605" s="6"/>
      <c r="Y605" s="6"/>
      <c r="Z605" s="6"/>
      <c r="AA605" s="6" t="s">
        <v>405</v>
      </c>
    </row>
    <row r="606" spans="1:27" s="4" customFormat="1" ht="51.95" customHeight="1">
      <c r="A606" s="5">
        <v>0</v>
      </c>
      <c r="B606" s="6" t="s">
        <v>3627</v>
      </c>
      <c r="C606" s="7">
        <v>1394.9</v>
      </c>
      <c r="D606" s="8" t="s">
        <v>3628</v>
      </c>
      <c r="E606" s="8" t="s">
        <v>3629</v>
      </c>
      <c r="F606" s="8" t="s">
        <v>3630</v>
      </c>
      <c r="G606" s="6" t="s">
        <v>37</v>
      </c>
      <c r="H606" s="6" t="s">
        <v>38</v>
      </c>
      <c r="I606" s="8" t="s">
        <v>94</v>
      </c>
      <c r="J606" s="9">
        <v>1</v>
      </c>
      <c r="K606" s="9">
        <v>366</v>
      </c>
      <c r="L606" s="9">
        <v>2022</v>
      </c>
      <c r="M606" s="8" t="s">
        <v>3631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234</v>
      </c>
      <c r="S606" s="11" t="s">
        <v>3632</v>
      </c>
      <c r="T606" s="6"/>
      <c r="U606" s="28" t="str">
        <f>HYPERLINK("https://media.infra-m.ru/1851/1851328/cover/1851328.jpg", "Обложка")</f>
        <v>Обложка</v>
      </c>
      <c r="V606" s="28" t="str">
        <f>HYPERLINK("https://znanium.ru/catalog/product/1851328", "Ознакомиться")</f>
        <v>Ознакомиться</v>
      </c>
      <c r="W606" s="8" t="s">
        <v>119</v>
      </c>
      <c r="X606" s="6"/>
      <c r="Y606" s="6"/>
      <c r="Z606" s="6"/>
      <c r="AA606" s="6" t="s">
        <v>258</v>
      </c>
    </row>
    <row r="607" spans="1:27" s="4" customFormat="1" ht="51.95" customHeight="1">
      <c r="A607" s="5">
        <v>0</v>
      </c>
      <c r="B607" s="6" t="s">
        <v>3633</v>
      </c>
      <c r="C607" s="7">
        <v>1150</v>
      </c>
      <c r="D607" s="8" t="s">
        <v>3634</v>
      </c>
      <c r="E607" s="8" t="s">
        <v>3635</v>
      </c>
      <c r="F607" s="8" t="s">
        <v>3623</v>
      </c>
      <c r="G607" s="6" t="s">
        <v>75</v>
      </c>
      <c r="H607" s="6" t="s">
        <v>38</v>
      </c>
      <c r="I607" s="8" t="s">
        <v>139</v>
      </c>
      <c r="J607" s="9">
        <v>1</v>
      </c>
      <c r="K607" s="9">
        <v>245</v>
      </c>
      <c r="L607" s="9">
        <v>2024</v>
      </c>
      <c r="M607" s="8" t="s">
        <v>3636</v>
      </c>
      <c r="N607" s="8" t="s">
        <v>41</v>
      </c>
      <c r="O607" s="8" t="s">
        <v>42</v>
      </c>
      <c r="P607" s="6" t="s">
        <v>66</v>
      </c>
      <c r="Q607" s="8" t="s">
        <v>97</v>
      </c>
      <c r="R607" s="10" t="s">
        <v>378</v>
      </c>
      <c r="S607" s="11" t="s">
        <v>3637</v>
      </c>
      <c r="T607" s="6"/>
      <c r="U607" s="28" t="str">
        <f>HYPERLINK("https://media.infra-m.ru/2079/2079323/cover/2079323.jpg", "Обложка")</f>
        <v>Обложка</v>
      </c>
      <c r="V607" s="28" t="str">
        <f>HYPERLINK("https://znanium.ru/catalog/product/2079323", "Ознакомиться")</f>
        <v>Ознакомиться</v>
      </c>
      <c r="W607" s="8" t="s">
        <v>3626</v>
      </c>
      <c r="X607" s="6"/>
      <c r="Y607" s="6"/>
      <c r="Z607" s="6"/>
      <c r="AA607" s="6" t="s">
        <v>405</v>
      </c>
    </row>
    <row r="608" spans="1:27" s="4" customFormat="1" ht="44.1" customHeight="1">
      <c r="A608" s="5">
        <v>0</v>
      </c>
      <c r="B608" s="6" t="s">
        <v>3638</v>
      </c>
      <c r="C608" s="7">
        <v>1362</v>
      </c>
      <c r="D608" s="8" t="s">
        <v>3639</v>
      </c>
      <c r="E608" s="8" t="s">
        <v>3640</v>
      </c>
      <c r="F608" s="8" t="s">
        <v>3641</v>
      </c>
      <c r="G608" s="6" t="s">
        <v>37</v>
      </c>
      <c r="H608" s="6" t="s">
        <v>38</v>
      </c>
      <c r="I608" s="8" t="s">
        <v>39</v>
      </c>
      <c r="J608" s="9">
        <v>1</v>
      </c>
      <c r="K608" s="9">
        <v>223</v>
      </c>
      <c r="L608" s="9">
        <v>2024</v>
      </c>
      <c r="M608" s="8" t="s">
        <v>3642</v>
      </c>
      <c r="N608" s="8" t="s">
        <v>41</v>
      </c>
      <c r="O608" s="8" t="s">
        <v>42</v>
      </c>
      <c r="P608" s="6" t="s">
        <v>43</v>
      </c>
      <c r="Q608" s="8" t="s">
        <v>44</v>
      </c>
      <c r="R608" s="10" t="s">
        <v>45</v>
      </c>
      <c r="S608" s="11"/>
      <c r="T608" s="6"/>
      <c r="U608" s="28" t="str">
        <f>HYPERLINK("https://media.infra-m.ru/2108/2108542/cover/2108542.jpg", "Обложка")</f>
        <v>Обложка</v>
      </c>
      <c r="V608" s="28" t="str">
        <f>HYPERLINK("https://znanium.ru/catalog/product/2108542", "Ознакомиться")</f>
        <v>Ознакомиться</v>
      </c>
      <c r="W608" s="8" t="s">
        <v>3101</v>
      </c>
      <c r="X608" s="6" t="s">
        <v>2503</v>
      </c>
      <c r="Y608" s="6"/>
      <c r="Z608" s="6"/>
      <c r="AA608" s="6" t="s">
        <v>48</v>
      </c>
    </row>
    <row r="609" spans="1:27" s="4" customFormat="1" ht="44.1" customHeight="1">
      <c r="A609" s="5">
        <v>0</v>
      </c>
      <c r="B609" s="6" t="s">
        <v>3643</v>
      </c>
      <c r="C609" s="7">
        <v>1700</v>
      </c>
      <c r="D609" s="8" t="s">
        <v>3644</v>
      </c>
      <c r="E609" s="8" t="s">
        <v>3645</v>
      </c>
      <c r="F609" s="8" t="s">
        <v>124</v>
      </c>
      <c r="G609" s="6" t="s">
        <v>37</v>
      </c>
      <c r="H609" s="6" t="s">
        <v>38</v>
      </c>
      <c r="I609" s="8" t="s">
        <v>192</v>
      </c>
      <c r="J609" s="9">
        <v>1</v>
      </c>
      <c r="K609" s="9">
        <v>372</v>
      </c>
      <c r="L609" s="9">
        <v>2023</v>
      </c>
      <c r="M609" s="8" t="s">
        <v>3646</v>
      </c>
      <c r="N609" s="8" t="s">
        <v>41</v>
      </c>
      <c r="O609" s="8" t="s">
        <v>42</v>
      </c>
      <c r="P609" s="6" t="s">
        <v>78</v>
      </c>
      <c r="Q609" s="8" t="s">
        <v>97</v>
      </c>
      <c r="R609" s="10" t="s">
        <v>1825</v>
      </c>
      <c r="S609" s="11"/>
      <c r="T609" s="6" t="s">
        <v>151</v>
      </c>
      <c r="U609" s="28" t="str">
        <f>HYPERLINK("https://media.infra-m.ru/1977/1977992/cover/1977992.jpg", "Обложка")</f>
        <v>Обложка</v>
      </c>
      <c r="V609" s="28" t="str">
        <f>HYPERLINK("https://znanium.ru/catalog/product/1977992", "Ознакомиться")</f>
        <v>Ознакомиться</v>
      </c>
      <c r="W609" s="8" t="s">
        <v>46</v>
      </c>
      <c r="X609" s="6" t="s">
        <v>3647</v>
      </c>
      <c r="Y609" s="6"/>
      <c r="Z609" s="6"/>
      <c r="AA609" s="6" t="s">
        <v>347</v>
      </c>
    </row>
    <row r="610" spans="1:27" s="4" customFormat="1" ht="51.95" customHeight="1">
      <c r="A610" s="5">
        <v>0</v>
      </c>
      <c r="B610" s="6" t="s">
        <v>3648</v>
      </c>
      <c r="C610" s="7">
        <v>1400</v>
      </c>
      <c r="D610" s="8" t="s">
        <v>3649</v>
      </c>
      <c r="E610" s="8" t="s">
        <v>3650</v>
      </c>
      <c r="F610" s="8" t="s">
        <v>124</v>
      </c>
      <c r="G610" s="6" t="s">
        <v>75</v>
      </c>
      <c r="H610" s="6" t="s">
        <v>38</v>
      </c>
      <c r="I610" s="8" t="s">
        <v>94</v>
      </c>
      <c r="J610" s="9">
        <v>1</v>
      </c>
      <c r="K610" s="9">
        <v>368</v>
      </c>
      <c r="L610" s="9">
        <v>2022</v>
      </c>
      <c r="M610" s="8" t="s">
        <v>3651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1825</v>
      </c>
      <c r="S610" s="11" t="s">
        <v>150</v>
      </c>
      <c r="T610" s="6" t="s">
        <v>151</v>
      </c>
      <c r="U610" s="28" t="str">
        <f>HYPERLINK("https://media.infra-m.ru/1862/1862635/cover/1862635.jpg",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/>
      <c r="Y610" s="6"/>
      <c r="Z610" s="6"/>
      <c r="AA610" s="6" t="s">
        <v>251</v>
      </c>
    </row>
    <row r="611" spans="1:27" s="4" customFormat="1" ht="44.1" customHeight="1">
      <c r="A611" s="5">
        <v>0</v>
      </c>
      <c r="B611" s="6" t="s">
        <v>3652</v>
      </c>
      <c r="C611" s="7">
        <v>1184.9000000000001</v>
      </c>
      <c r="D611" s="8" t="s">
        <v>3653</v>
      </c>
      <c r="E611" s="8" t="s">
        <v>3654</v>
      </c>
      <c r="F611" s="8" t="s">
        <v>124</v>
      </c>
      <c r="G611" s="6" t="s">
        <v>37</v>
      </c>
      <c r="H611" s="6" t="s">
        <v>132</v>
      </c>
      <c r="I611" s="8"/>
      <c r="J611" s="9">
        <v>1</v>
      </c>
      <c r="K611" s="9">
        <v>368</v>
      </c>
      <c r="L611" s="9">
        <v>2019</v>
      </c>
      <c r="M611" s="8" t="s">
        <v>3655</v>
      </c>
      <c r="N611" s="8" t="s">
        <v>41</v>
      </c>
      <c r="O611" s="8" t="s">
        <v>42</v>
      </c>
      <c r="P611" s="6" t="s">
        <v>78</v>
      </c>
      <c r="Q611" s="8" t="s">
        <v>97</v>
      </c>
      <c r="R611" s="10" t="s">
        <v>1825</v>
      </c>
      <c r="S611" s="11"/>
      <c r="T611" s="6" t="s">
        <v>151</v>
      </c>
      <c r="U611" s="28" t="str">
        <f>HYPERLINK("https://media.infra-m.ru/0987/0987736/cover/987736.jpg", "Обложка")</f>
        <v>Обложка</v>
      </c>
      <c r="V611" s="28" t="str">
        <f>HYPERLINK("https://znanium.ru/catalog/product/1977992", "Ознакомиться")</f>
        <v>Ознакомиться</v>
      </c>
      <c r="W611" s="8" t="s">
        <v>46</v>
      </c>
      <c r="X611" s="6"/>
      <c r="Y611" s="6"/>
      <c r="Z611" s="6"/>
      <c r="AA611" s="6" t="s">
        <v>89</v>
      </c>
    </row>
    <row r="612" spans="1:27" s="4" customFormat="1" ht="51.95" customHeight="1">
      <c r="A612" s="5">
        <v>0</v>
      </c>
      <c r="B612" s="6" t="s">
        <v>3656</v>
      </c>
      <c r="C612" s="7">
        <v>3370</v>
      </c>
      <c r="D612" s="8" t="s">
        <v>3657</v>
      </c>
      <c r="E612" s="8" t="s">
        <v>3658</v>
      </c>
      <c r="F612" s="8" t="s">
        <v>3659</v>
      </c>
      <c r="G612" s="6" t="s">
        <v>37</v>
      </c>
      <c r="H612" s="6" t="s">
        <v>38</v>
      </c>
      <c r="I612" s="8" t="s">
        <v>192</v>
      </c>
      <c r="J612" s="9">
        <v>1</v>
      </c>
      <c r="K612" s="9">
        <v>362</v>
      </c>
      <c r="L612" s="9">
        <v>2024</v>
      </c>
      <c r="M612" s="8" t="s">
        <v>3660</v>
      </c>
      <c r="N612" s="8" t="s">
        <v>41</v>
      </c>
      <c r="O612" s="8" t="s">
        <v>42</v>
      </c>
      <c r="P612" s="6" t="s">
        <v>78</v>
      </c>
      <c r="Q612" s="8" t="s">
        <v>141</v>
      </c>
      <c r="R612" s="10" t="s">
        <v>3661</v>
      </c>
      <c r="S612" s="11"/>
      <c r="T612" s="6"/>
      <c r="U612" s="28" t="str">
        <f>HYPERLINK("https://media.infra-m.ru/1977/1977968/cover/1977968.jpg", "Обложка")</f>
        <v>Обложка</v>
      </c>
      <c r="V612" s="28" t="str">
        <f>HYPERLINK("https://znanium.ru/catalog/product/1977968", "Ознакомиться")</f>
        <v>Ознакомиться</v>
      </c>
      <c r="W612" s="8" t="s">
        <v>328</v>
      </c>
      <c r="X612" s="6" t="s">
        <v>1644</v>
      </c>
      <c r="Y612" s="6"/>
      <c r="Z612" s="6"/>
      <c r="AA612" s="6" t="s">
        <v>48</v>
      </c>
    </row>
    <row r="613" spans="1:27" s="4" customFormat="1" ht="51.95" customHeight="1">
      <c r="A613" s="5">
        <v>0</v>
      </c>
      <c r="B613" s="6" t="s">
        <v>3662</v>
      </c>
      <c r="C613" s="13">
        <v>590</v>
      </c>
      <c r="D613" s="8" t="s">
        <v>3663</v>
      </c>
      <c r="E613" s="8" t="s">
        <v>3664</v>
      </c>
      <c r="F613" s="8" t="s">
        <v>3665</v>
      </c>
      <c r="G613" s="6" t="s">
        <v>53</v>
      </c>
      <c r="H613" s="6" t="s">
        <v>38</v>
      </c>
      <c r="I613" s="8" t="s">
        <v>3666</v>
      </c>
      <c r="J613" s="9">
        <v>1</v>
      </c>
      <c r="K613" s="9">
        <v>90</v>
      </c>
      <c r="L613" s="9">
        <v>2023</v>
      </c>
      <c r="M613" s="8" t="s">
        <v>3667</v>
      </c>
      <c r="N613" s="8" t="s">
        <v>41</v>
      </c>
      <c r="O613" s="8" t="s">
        <v>42</v>
      </c>
      <c r="P613" s="6" t="s">
        <v>66</v>
      </c>
      <c r="Q613" s="8" t="s">
        <v>67</v>
      </c>
      <c r="R613" s="10" t="s">
        <v>426</v>
      </c>
      <c r="S613" s="11" t="s">
        <v>3668</v>
      </c>
      <c r="T613" s="6"/>
      <c r="U613" s="28" t="str">
        <f>HYPERLINK("https://media.infra-m.ru/1910/1910848/cover/1910848.jpg", "Обложка")</f>
        <v>Обложка</v>
      </c>
      <c r="V613" s="12"/>
      <c r="W613" s="8"/>
      <c r="X613" s="6"/>
      <c r="Y613" s="6"/>
      <c r="Z613" s="6"/>
      <c r="AA613" s="6" t="s">
        <v>120</v>
      </c>
    </row>
    <row r="614" spans="1:27" s="4" customFormat="1" ht="51.95" customHeight="1">
      <c r="A614" s="5">
        <v>0</v>
      </c>
      <c r="B614" s="6" t="s">
        <v>3669</v>
      </c>
      <c r="C614" s="13">
        <v>894</v>
      </c>
      <c r="D614" s="8" t="s">
        <v>3670</v>
      </c>
      <c r="E614" s="8" t="s">
        <v>3671</v>
      </c>
      <c r="F614" s="8" t="s">
        <v>3672</v>
      </c>
      <c r="G614" s="6" t="s">
        <v>53</v>
      </c>
      <c r="H614" s="6" t="s">
        <v>362</v>
      </c>
      <c r="I614" s="8" t="s">
        <v>94</v>
      </c>
      <c r="J614" s="9">
        <v>1</v>
      </c>
      <c r="K614" s="9">
        <v>192</v>
      </c>
      <c r="L614" s="9">
        <v>2024</v>
      </c>
      <c r="M614" s="8" t="s">
        <v>3673</v>
      </c>
      <c r="N614" s="8" t="s">
        <v>41</v>
      </c>
      <c r="O614" s="8" t="s">
        <v>96</v>
      </c>
      <c r="P614" s="6" t="s">
        <v>66</v>
      </c>
      <c r="Q614" s="8" t="s">
        <v>97</v>
      </c>
      <c r="R614" s="10" t="s">
        <v>149</v>
      </c>
      <c r="S614" s="11" t="s">
        <v>3674</v>
      </c>
      <c r="T614" s="6"/>
      <c r="U614" s="28" t="str">
        <f>HYPERLINK("https://media.infra-m.ru/2129/2129187/cover/2129187.jpg", "Обложка")</f>
        <v>Обложка</v>
      </c>
      <c r="V614" s="28" t="str">
        <f>HYPERLINK("https://znanium.ru/catalog/product/1947347", "Ознакомиться")</f>
        <v>Ознакомиться</v>
      </c>
      <c r="W614" s="8" t="s">
        <v>119</v>
      </c>
      <c r="X614" s="6"/>
      <c r="Y614" s="6"/>
      <c r="Z614" s="6"/>
      <c r="AA614" s="6" t="s">
        <v>101</v>
      </c>
    </row>
    <row r="615" spans="1:27" s="4" customFormat="1" ht="51.95" customHeight="1">
      <c r="A615" s="5">
        <v>0</v>
      </c>
      <c r="B615" s="6" t="s">
        <v>3675</v>
      </c>
      <c r="C615" s="13">
        <v>704.9</v>
      </c>
      <c r="D615" s="8" t="s">
        <v>3676</v>
      </c>
      <c r="E615" s="8" t="s">
        <v>3677</v>
      </c>
      <c r="F615" s="8" t="s">
        <v>3678</v>
      </c>
      <c r="G615" s="6" t="s">
        <v>75</v>
      </c>
      <c r="H615" s="6" t="s">
        <v>38</v>
      </c>
      <c r="I615" s="8" t="s">
        <v>94</v>
      </c>
      <c r="J615" s="9">
        <v>1</v>
      </c>
      <c r="K615" s="9">
        <v>157</v>
      </c>
      <c r="L615" s="9">
        <v>2022</v>
      </c>
      <c r="M615" s="8" t="s">
        <v>3679</v>
      </c>
      <c r="N615" s="8" t="s">
        <v>41</v>
      </c>
      <c r="O615" s="8" t="s">
        <v>42</v>
      </c>
      <c r="P615" s="6" t="s">
        <v>66</v>
      </c>
      <c r="Q615" s="8" t="s">
        <v>97</v>
      </c>
      <c r="R615" s="10" t="s">
        <v>3680</v>
      </c>
      <c r="S615" s="11" t="s">
        <v>1367</v>
      </c>
      <c r="T615" s="6"/>
      <c r="U615" s="28" t="str">
        <f>HYPERLINK("https://media.infra-m.ru/1920/1920341/cover/1920341.jpg", "Обложка")</f>
        <v>Обложка</v>
      </c>
      <c r="V615" s="28" t="str">
        <f>HYPERLINK("https://znanium.ru/catalog/product/1909158", "Ознакомиться")</f>
        <v>Ознакомиться</v>
      </c>
      <c r="W615" s="8" t="s">
        <v>119</v>
      </c>
      <c r="X615" s="6"/>
      <c r="Y615" s="6"/>
      <c r="Z615" s="6"/>
      <c r="AA615" s="6" t="s">
        <v>321</v>
      </c>
    </row>
    <row r="616" spans="1:27" s="4" customFormat="1" ht="51.95" customHeight="1">
      <c r="A616" s="5">
        <v>0</v>
      </c>
      <c r="B616" s="6" t="s">
        <v>3681</v>
      </c>
      <c r="C616" s="7">
        <v>1940</v>
      </c>
      <c r="D616" s="8" t="s">
        <v>3682</v>
      </c>
      <c r="E616" s="8" t="s">
        <v>3683</v>
      </c>
      <c r="F616" s="8" t="s">
        <v>400</v>
      </c>
      <c r="G616" s="6" t="s">
        <v>37</v>
      </c>
      <c r="H616" s="6" t="s">
        <v>38</v>
      </c>
      <c r="I616" s="8" t="s">
        <v>199</v>
      </c>
      <c r="J616" s="9">
        <v>1</v>
      </c>
      <c r="K616" s="9">
        <v>421</v>
      </c>
      <c r="L616" s="9">
        <v>2023</v>
      </c>
      <c r="M616" s="8" t="s">
        <v>3684</v>
      </c>
      <c r="N616" s="8" t="s">
        <v>41</v>
      </c>
      <c r="O616" s="8" t="s">
        <v>42</v>
      </c>
      <c r="P616" s="6" t="s">
        <v>78</v>
      </c>
      <c r="Q616" s="8" t="s">
        <v>201</v>
      </c>
      <c r="R616" s="10" t="s">
        <v>3084</v>
      </c>
      <c r="S616" s="11" t="s">
        <v>3685</v>
      </c>
      <c r="T616" s="6"/>
      <c r="U616" s="28" t="str">
        <f>HYPERLINK("https://media.infra-m.ru/1123/1123729/cover/1123729.jpg", "Обложка")</f>
        <v>Обложка</v>
      </c>
      <c r="V616" s="28" t="str">
        <f>HYPERLINK("https://znanium.ru/catalog/product/1123729", "Ознакомиться")</f>
        <v>Ознакомиться</v>
      </c>
      <c r="W616" s="8" t="s">
        <v>404</v>
      </c>
      <c r="X616" s="6"/>
      <c r="Y616" s="6"/>
      <c r="Z616" s="6" t="s">
        <v>204</v>
      </c>
      <c r="AA616" s="6" t="s">
        <v>120</v>
      </c>
    </row>
    <row r="617" spans="1:27" s="4" customFormat="1" ht="51.95" customHeight="1">
      <c r="A617" s="5">
        <v>0</v>
      </c>
      <c r="B617" s="6" t="s">
        <v>3686</v>
      </c>
      <c r="C617" s="7">
        <v>2730</v>
      </c>
      <c r="D617" s="8" t="s">
        <v>3687</v>
      </c>
      <c r="E617" s="8" t="s">
        <v>3688</v>
      </c>
      <c r="F617" s="8" t="s">
        <v>3689</v>
      </c>
      <c r="G617" s="6" t="s">
        <v>37</v>
      </c>
      <c r="H617" s="6" t="s">
        <v>38</v>
      </c>
      <c r="I617" s="8" t="s">
        <v>192</v>
      </c>
      <c r="J617" s="9">
        <v>1</v>
      </c>
      <c r="K617" s="9">
        <v>592</v>
      </c>
      <c r="L617" s="9">
        <v>2024</v>
      </c>
      <c r="M617" s="8" t="s">
        <v>3690</v>
      </c>
      <c r="N617" s="8" t="s">
        <v>41</v>
      </c>
      <c r="O617" s="8" t="s">
        <v>42</v>
      </c>
      <c r="P617" s="6" t="s">
        <v>78</v>
      </c>
      <c r="Q617" s="8" t="s">
        <v>97</v>
      </c>
      <c r="R617" s="10" t="s">
        <v>378</v>
      </c>
      <c r="S617" s="11" t="s">
        <v>3691</v>
      </c>
      <c r="T617" s="6"/>
      <c r="U617" s="28" t="str">
        <f>HYPERLINK("https://media.infra-m.ru/2094/2094500/cover/2094500.jpg", "Обложка")</f>
        <v>Обложка</v>
      </c>
      <c r="V617" s="28" t="str">
        <f>HYPERLINK("https://znanium.ru/catalog/product/2094500", "Ознакомиться")</f>
        <v>Ознакомиться</v>
      </c>
      <c r="W617" s="8" t="s">
        <v>46</v>
      </c>
      <c r="X617" s="6"/>
      <c r="Y617" s="6"/>
      <c r="Z617" s="6"/>
      <c r="AA617" s="6" t="s">
        <v>89</v>
      </c>
    </row>
    <row r="618" spans="1:27" s="4" customFormat="1" ht="42" customHeight="1">
      <c r="A618" s="5">
        <v>0</v>
      </c>
      <c r="B618" s="6" t="s">
        <v>3692</v>
      </c>
      <c r="C618" s="13">
        <v>740</v>
      </c>
      <c r="D618" s="8" t="s">
        <v>3693</v>
      </c>
      <c r="E618" s="8" t="s">
        <v>3694</v>
      </c>
      <c r="F618" s="8" t="s">
        <v>3695</v>
      </c>
      <c r="G618" s="6" t="s">
        <v>37</v>
      </c>
      <c r="H618" s="6" t="s">
        <v>38</v>
      </c>
      <c r="I618" s="8" t="s">
        <v>39</v>
      </c>
      <c r="J618" s="9">
        <v>1</v>
      </c>
      <c r="K618" s="9">
        <v>237</v>
      </c>
      <c r="L618" s="9">
        <v>2018</v>
      </c>
      <c r="M618" s="8" t="s">
        <v>3696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3697</v>
      </c>
      <c r="S618" s="11"/>
      <c r="T618" s="6"/>
      <c r="U618" s="28" t="str">
        <f>HYPERLINK("https://media.infra-m.ru/0942/0942813/cover/942813.jpg", "Обложка")</f>
        <v>Обложка</v>
      </c>
      <c r="V618" s="28" t="str">
        <f>HYPERLINK("https://znanium.ru/catalog/product/942813", "Ознакомиться")</f>
        <v>Ознакомиться</v>
      </c>
      <c r="W618" s="8" t="s">
        <v>46</v>
      </c>
      <c r="X618" s="6"/>
      <c r="Y618" s="6"/>
      <c r="Z618" s="6"/>
      <c r="AA618" s="6" t="s">
        <v>89</v>
      </c>
    </row>
    <row r="619" spans="1:27" s="4" customFormat="1" ht="51.95" customHeight="1">
      <c r="A619" s="5">
        <v>0</v>
      </c>
      <c r="B619" s="6" t="s">
        <v>3698</v>
      </c>
      <c r="C619" s="7">
        <v>1570</v>
      </c>
      <c r="D619" s="8" t="s">
        <v>3699</v>
      </c>
      <c r="E619" s="8" t="s">
        <v>3700</v>
      </c>
      <c r="F619" s="8" t="s">
        <v>3701</v>
      </c>
      <c r="G619" s="6" t="s">
        <v>75</v>
      </c>
      <c r="H619" s="6" t="s">
        <v>38</v>
      </c>
      <c r="I619" s="8" t="s">
        <v>115</v>
      </c>
      <c r="J619" s="9">
        <v>1</v>
      </c>
      <c r="K619" s="9">
        <v>348</v>
      </c>
      <c r="L619" s="9">
        <v>2023</v>
      </c>
      <c r="M619" s="8" t="s">
        <v>3702</v>
      </c>
      <c r="N619" s="8" t="s">
        <v>41</v>
      </c>
      <c r="O619" s="8" t="s">
        <v>96</v>
      </c>
      <c r="P619" s="6" t="s">
        <v>78</v>
      </c>
      <c r="Q619" s="8" t="s">
        <v>67</v>
      </c>
      <c r="R619" s="10" t="s">
        <v>3703</v>
      </c>
      <c r="S619" s="11" t="s">
        <v>3704</v>
      </c>
      <c r="T619" s="6"/>
      <c r="U619" s="28" t="str">
        <f>HYPERLINK("https://media.infra-m.ru/2049/2049700/cover/2049700.jpg", "Обложка")</f>
        <v>Обложка</v>
      </c>
      <c r="V619" s="28" t="str">
        <f>HYPERLINK("https://znanium.ru/catalog/product/2049700", "Ознакомиться")</f>
        <v>Ознакомиться</v>
      </c>
      <c r="W619" s="8" t="s">
        <v>119</v>
      </c>
      <c r="X619" s="6"/>
      <c r="Y619" s="6"/>
      <c r="Z619" s="6"/>
      <c r="AA619" s="6" t="s">
        <v>304</v>
      </c>
    </row>
    <row r="620" spans="1:27" s="4" customFormat="1" ht="51.95" customHeight="1">
      <c r="A620" s="5">
        <v>0</v>
      </c>
      <c r="B620" s="6" t="s">
        <v>3705</v>
      </c>
      <c r="C620" s="7">
        <v>1120</v>
      </c>
      <c r="D620" s="8" t="s">
        <v>3706</v>
      </c>
      <c r="E620" s="8" t="s">
        <v>3707</v>
      </c>
      <c r="F620" s="8" t="s">
        <v>3606</v>
      </c>
      <c r="G620" s="6" t="s">
        <v>75</v>
      </c>
      <c r="H620" s="6" t="s">
        <v>38</v>
      </c>
      <c r="I620" s="8" t="s">
        <v>94</v>
      </c>
      <c r="J620" s="9">
        <v>1</v>
      </c>
      <c r="K620" s="9">
        <v>347</v>
      </c>
      <c r="L620" s="9">
        <v>2019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97</v>
      </c>
      <c r="R620" s="10" t="s">
        <v>3703</v>
      </c>
      <c r="S620" s="11" t="s">
        <v>681</v>
      </c>
      <c r="T620" s="6"/>
      <c r="U620" s="28" t="str">
        <f>HYPERLINK("https://media.infra-m.ru/1010/1010117/cover/1010117.jpg", "Обложка")</f>
        <v>Обложка</v>
      </c>
      <c r="V620" s="28" t="str">
        <f>HYPERLINK("https://znanium.ru/catalog/product/2049700", "Ознакомиться")</f>
        <v>Ознакомиться</v>
      </c>
      <c r="W620" s="8" t="s">
        <v>119</v>
      </c>
      <c r="X620" s="6"/>
      <c r="Y620" s="6"/>
      <c r="Z620" s="6"/>
      <c r="AA620" s="6" t="s">
        <v>213</v>
      </c>
    </row>
    <row r="621" spans="1:27" s="4" customFormat="1" ht="51.95" customHeight="1">
      <c r="A621" s="5">
        <v>0</v>
      </c>
      <c r="B621" s="6" t="s">
        <v>3709</v>
      </c>
      <c r="C621" s="7">
        <v>1000</v>
      </c>
      <c r="D621" s="8" t="s">
        <v>3710</v>
      </c>
      <c r="E621" s="8" t="s">
        <v>3711</v>
      </c>
      <c r="F621" s="8" t="s">
        <v>3712</v>
      </c>
      <c r="G621" s="6" t="s">
        <v>53</v>
      </c>
      <c r="H621" s="6" t="s">
        <v>54</v>
      </c>
      <c r="I621" s="8" t="s">
        <v>76</v>
      </c>
      <c r="J621" s="9">
        <v>1</v>
      </c>
      <c r="K621" s="9">
        <v>217</v>
      </c>
      <c r="L621" s="9">
        <v>2023</v>
      </c>
      <c r="M621" s="8" t="s">
        <v>3713</v>
      </c>
      <c r="N621" s="8" t="s">
        <v>41</v>
      </c>
      <c r="O621" s="8" t="s">
        <v>96</v>
      </c>
      <c r="P621" s="6" t="s">
        <v>78</v>
      </c>
      <c r="Q621" s="8" t="s">
        <v>67</v>
      </c>
      <c r="R621" s="10" t="s">
        <v>2714</v>
      </c>
      <c r="S621" s="11"/>
      <c r="T621" s="6" t="s">
        <v>151</v>
      </c>
      <c r="U621" s="28" t="str">
        <f>HYPERLINK("https://media.infra-m.ru/1911/1911188/cover/1911188.jpg", "Обложка")</f>
        <v>Обложка</v>
      </c>
      <c r="V621" s="28" t="str">
        <f>HYPERLINK("https://znanium.ru/catalog/product/1911188", "Ознакомиться")</f>
        <v>Ознакомиться</v>
      </c>
      <c r="W621" s="8" t="s">
        <v>1855</v>
      </c>
      <c r="X621" s="6"/>
      <c r="Y621" s="6"/>
      <c r="Z621" s="6"/>
      <c r="AA621" s="6" t="s">
        <v>213</v>
      </c>
    </row>
    <row r="622" spans="1:27" s="4" customFormat="1" ht="51.95" customHeight="1">
      <c r="A622" s="5">
        <v>0</v>
      </c>
      <c r="B622" s="6" t="s">
        <v>3714</v>
      </c>
      <c r="C622" s="7">
        <v>1324.9</v>
      </c>
      <c r="D622" s="8" t="s">
        <v>3715</v>
      </c>
      <c r="E622" s="8" t="s">
        <v>3711</v>
      </c>
      <c r="F622" s="8" t="s">
        <v>1799</v>
      </c>
      <c r="G622" s="6" t="s">
        <v>37</v>
      </c>
      <c r="H622" s="6" t="s">
        <v>38</v>
      </c>
      <c r="I622" s="8" t="s">
        <v>94</v>
      </c>
      <c r="J622" s="9">
        <v>1</v>
      </c>
      <c r="K622" s="9">
        <v>413</v>
      </c>
      <c r="L622" s="9">
        <v>2019</v>
      </c>
      <c r="M622" s="8" t="s">
        <v>3716</v>
      </c>
      <c r="N622" s="8" t="s">
        <v>41</v>
      </c>
      <c r="O622" s="8" t="s">
        <v>96</v>
      </c>
      <c r="P622" s="6" t="s">
        <v>78</v>
      </c>
      <c r="Q622" s="8" t="s">
        <v>67</v>
      </c>
      <c r="R622" s="10" t="s">
        <v>1229</v>
      </c>
      <c r="S622" s="11" t="s">
        <v>3717</v>
      </c>
      <c r="T622" s="6"/>
      <c r="U622" s="28" t="str">
        <f>HYPERLINK("https://media.infra-m.ru/1010/1010087/cover/1010087.jpg", "Обложка")</f>
        <v>Обложка</v>
      </c>
      <c r="V622" s="12"/>
      <c r="W622" s="8" t="s">
        <v>119</v>
      </c>
      <c r="X622" s="6"/>
      <c r="Y622" s="6"/>
      <c r="Z622" s="6"/>
      <c r="AA622" s="6" t="s">
        <v>59</v>
      </c>
    </row>
    <row r="623" spans="1:27" s="4" customFormat="1" ht="51.95" customHeight="1">
      <c r="A623" s="5">
        <v>0</v>
      </c>
      <c r="B623" s="6" t="s">
        <v>3718</v>
      </c>
      <c r="C623" s="7">
        <v>1254.9000000000001</v>
      </c>
      <c r="D623" s="8" t="s">
        <v>3719</v>
      </c>
      <c r="E623" s="8" t="s">
        <v>3711</v>
      </c>
      <c r="F623" s="8" t="s">
        <v>3720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331</v>
      </c>
      <c r="L623" s="9">
        <v>2022</v>
      </c>
      <c r="M623" s="8" t="s">
        <v>3721</v>
      </c>
      <c r="N623" s="8" t="s">
        <v>41</v>
      </c>
      <c r="O623" s="8" t="s">
        <v>96</v>
      </c>
      <c r="P623" s="6" t="s">
        <v>78</v>
      </c>
      <c r="Q623" s="8" t="s">
        <v>97</v>
      </c>
      <c r="R623" s="10" t="s">
        <v>179</v>
      </c>
      <c r="S623" s="11" t="s">
        <v>3722</v>
      </c>
      <c r="T623" s="6"/>
      <c r="U623" s="28" t="str">
        <f>HYPERLINK("https://media.infra-m.ru/1844/1844276/cover/1844276.jpg", "Обложка")</f>
        <v>Обложка</v>
      </c>
      <c r="V623" s="28" t="str">
        <f>HYPERLINK("https://znanium.ru/catalog/product/920546", "Ознакомиться")</f>
        <v>Ознакомиться</v>
      </c>
      <c r="W623" s="8" t="s">
        <v>3723</v>
      </c>
      <c r="X623" s="6"/>
      <c r="Y623" s="6"/>
      <c r="Z623" s="6"/>
      <c r="AA623" s="6" t="s">
        <v>59</v>
      </c>
    </row>
    <row r="624" spans="1:27" s="4" customFormat="1" ht="51.95" customHeight="1">
      <c r="A624" s="5">
        <v>0</v>
      </c>
      <c r="B624" s="6" t="s">
        <v>3724</v>
      </c>
      <c r="C624" s="13">
        <v>890</v>
      </c>
      <c r="D624" s="8" t="s">
        <v>3725</v>
      </c>
      <c r="E624" s="8" t="s">
        <v>3726</v>
      </c>
      <c r="F624" s="8" t="s">
        <v>3727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185</v>
      </c>
      <c r="L624" s="9">
        <v>2023</v>
      </c>
      <c r="M624" s="8" t="s">
        <v>3728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179</v>
      </c>
      <c r="S624" s="11" t="s">
        <v>3729</v>
      </c>
      <c r="T624" s="6"/>
      <c r="U624" s="28" t="str">
        <f>HYPERLINK("https://media.infra-m.ru/1865/1865670/cover/1865670.jpg", "Обложка")</f>
        <v>Обложка</v>
      </c>
      <c r="V624" s="28" t="str">
        <f>HYPERLINK("https://znanium.ru/catalog/product/1865670", "Ознакомиться")</f>
        <v>Ознакомиться</v>
      </c>
      <c r="W624" s="8" t="s">
        <v>1584</v>
      </c>
      <c r="X624" s="6"/>
      <c r="Y624" s="6"/>
      <c r="Z624" s="6"/>
      <c r="AA624" s="6" t="s">
        <v>304</v>
      </c>
    </row>
    <row r="625" spans="1:27" s="4" customFormat="1" ht="51.95" customHeight="1">
      <c r="A625" s="5">
        <v>0</v>
      </c>
      <c r="B625" s="6" t="s">
        <v>3730</v>
      </c>
      <c r="C625" s="7">
        <v>1084.9000000000001</v>
      </c>
      <c r="D625" s="8" t="s">
        <v>3731</v>
      </c>
      <c r="E625" s="8" t="s">
        <v>3711</v>
      </c>
      <c r="F625" s="8" t="s">
        <v>3732</v>
      </c>
      <c r="G625" s="6" t="s">
        <v>37</v>
      </c>
      <c r="H625" s="6" t="s">
        <v>38</v>
      </c>
      <c r="I625" s="8" t="s">
        <v>94</v>
      </c>
      <c r="J625" s="9">
        <v>1</v>
      </c>
      <c r="K625" s="9">
        <v>240</v>
      </c>
      <c r="L625" s="9">
        <v>2023</v>
      </c>
      <c r="M625" s="8" t="s">
        <v>3733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3734</v>
      </c>
      <c r="S625" s="11"/>
      <c r="T625" s="6"/>
      <c r="U625" s="28" t="str">
        <f>HYPERLINK("https://media.infra-m.ru/1983/1983235/cover/1983235.jpg", "Обложка")</f>
        <v>Обложка</v>
      </c>
      <c r="V625" s="28" t="str">
        <f>HYPERLINK("https://znanium.ru/catalog/product/987785", "Ознакомиться")</f>
        <v>Ознакомиться</v>
      </c>
      <c r="W625" s="8" t="s">
        <v>3735</v>
      </c>
      <c r="X625" s="6"/>
      <c r="Y625" s="6"/>
      <c r="Z625" s="6"/>
      <c r="AA625" s="6" t="s">
        <v>3736</v>
      </c>
    </row>
    <row r="626" spans="1:27" s="4" customFormat="1" ht="51.95" customHeight="1">
      <c r="A626" s="5">
        <v>0</v>
      </c>
      <c r="B626" s="6" t="s">
        <v>3737</v>
      </c>
      <c r="C626" s="13">
        <v>680</v>
      </c>
      <c r="D626" s="8" t="s">
        <v>3738</v>
      </c>
      <c r="E626" s="8" t="s">
        <v>3711</v>
      </c>
      <c r="F626" s="8" t="s">
        <v>3739</v>
      </c>
      <c r="G626" s="6" t="s">
        <v>75</v>
      </c>
      <c r="H626" s="6" t="s">
        <v>38</v>
      </c>
      <c r="I626" s="8" t="s">
        <v>94</v>
      </c>
      <c r="J626" s="9">
        <v>1</v>
      </c>
      <c r="K626" s="9">
        <v>184</v>
      </c>
      <c r="L626" s="9">
        <v>2021</v>
      </c>
      <c r="M626" s="8" t="s">
        <v>3740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179</v>
      </c>
      <c r="S626" s="11" t="s">
        <v>3729</v>
      </c>
      <c r="T626" s="6"/>
      <c r="U626" s="28" t="str">
        <f>HYPERLINK("https://media.infra-m.ru/1584/1584941/cover/1584941.jpg", "Обложка")</f>
        <v>Обложка</v>
      </c>
      <c r="V626" s="28" t="str">
        <f>HYPERLINK("https://znanium.ru/catalog/product/1865670", "Ознакомиться")</f>
        <v>Ознакомиться</v>
      </c>
      <c r="W626" s="8" t="s">
        <v>1584</v>
      </c>
      <c r="X626" s="6"/>
      <c r="Y626" s="6"/>
      <c r="Z626" s="6"/>
      <c r="AA626" s="6" t="s">
        <v>59</v>
      </c>
    </row>
    <row r="627" spans="1:27" s="4" customFormat="1" ht="51.95" customHeight="1">
      <c r="A627" s="5">
        <v>0</v>
      </c>
      <c r="B627" s="6" t="s">
        <v>3741</v>
      </c>
      <c r="C627" s="7">
        <v>1354</v>
      </c>
      <c r="D627" s="8" t="s">
        <v>3742</v>
      </c>
      <c r="E627" s="8" t="s">
        <v>3711</v>
      </c>
      <c r="F627" s="8" t="s">
        <v>3743</v>
      </c>
      <c r="G627" s="6" t="s">
        <v>37</v>
      </c>
      <c r="H627" s="6" t="s">
        <v>38</v>
      </c>
      <c r="I627" s="8" t="s">
        <v>94</v>
      </c>
      <c r="J627" s="9">
        <v>1</v>
      </c>
      <c r="K627" s="9">
        <v>294</v>
      </c>
      <c r="L627" s="9">
        <v>2023</v>
      </c>
      <c r="M627" s="8" t="s">
        <v>3744</v>
      </c>
      <c r="N627" s="8" t="s">
        <v>41</v>
      </c>
      <c r="O627" s="8" t="s">
        <v>96</v>
      </c>
      <c r="P627" s="6" t="s">
        <v>78</v>
      </c>
      <c r="Q627" s="8" t="s">
        <v>97</v>
      </c>
      <c r="R627" s="10" t="s">
        <v>3697</v>
      </c>
      <c r="S627" s="11" t="s">
        <v>681</v>
      </c>
      <c r="T627" s="6"/>
      <c r="U627" s="28" t="str">
        <f>HYPERLINK("https://media.infra-m.ru/1900/1900865/cover/1900865.jpg", "Обложка")</f>
        <v>Обложка</v>
      </c>
      <c r="V627" s="28" t="str">
        <f>HYPERLINK("https://znanium.ru/catalog/product/938021", "Ознакомиться")</f>
        <v>Ознакомиться</v>
      </c>
      <c r="W627" s="8" t="s">
        <v>764</v>
      </c>
      <c r="X627" s="6"/>
      <c r="Y627" s="6"/>
      <c r="Z627" s="6"/>
      <c r="AA627" s="6" t="s">
        <v>89</v>
      </c>
    </row>
    <row r="628" spans="1:27" s="4" customFormat="1" ht="51.95" customHeight="1">
      <c r="A628" s="5">
        <v>0</v>
      </c>
      <c r="B628" s="6" t="s">
        <v>3745</v>
      </c>
      <c r="C628" s="7">
        <v>1184</v>
      </c>
      <c r="D628" s="8" t="s">
        <v>3746</v>
      </c>
      <c r="E628" s="8" t="s">
        <v>3726</v>
      </c>
      <c r="F628" s="8" t="s">
        <v>3161</v>
      </c>
      <c r="G628" s="6" t="s">
        <v>37</v>
      </c>
      <c r="H628" s="6" t="s">
        <v>333</v>
      </c>
      <c r="I628" s="8" t="s">
        <v>192</v>
      </c>
      <c r="J628" s="9">
        <v>1</v>
      </c>
      <c r="K628" s="9">
        <v>256</v>
      </c>
      <c r="L628" s="9">
        <v>2024</v>
      </c>
      <c r="M628" s="8" t="s">
        <v>3747</v>
      </c>
      <c r="N628" s="8" t="s">
        <v>41</v>
      </c>
      <c r="O628" s="8" t="s">
        <v>96</v>
      </c>
      <c r="P628" s="6" t="s">
        <v>66</v>
      </c>
      <c r="Q628" s="8" t="s">
        <v>97</v>
      </c>
      <c r="R628" s="10" t="s">
        <v>378</v>
      </c>
      <c r="S628" s="11" t="s">
        <v>3748</v>
      </c>
      <c r="T628" s="6"/>
      <c r="U628" s="28" t="str">
        <f>HYPERLINK("https://media.infra-m.ru/2053/2053981/cover/2053981.jpg", "Обложка")</f>
        <v>Обложка</v>
      </c>
      <c r="V628" s="28" t="str">
        <f>HYPERLINK("https://znanium.ru/catalog/product/1745609", "Ознакомиться")</f>
        <v>Ознакомиться</v>
      </c>
      <c r="W628" s="8" t="s">
        <v>1230</v>
      </c>
      <c r="X628" s="6"/>
      <c r="Y628" s="6"/>
      <c r="Z628" s="6"/>
      <c r="AA628" s="6" t="s">
        <v>312</v>
      </c>
    </row>
    <row r="629" spans="1:27" s="4" customFormat="1" ht="51.95" customHeight="1">
      <c r="A629" s="5">
        <v>0</v>
      </c>
      <c r="B629" s="6" t="s">
        <v>3749</v>
      </c>
      <c r="C629" s="7">
        <v>1004.9</v>
      </c>
      <c r="D629" s="8" t="s">
        <v>3750</v>
      </c>
      <c r="E629" s="8" t="s">
        <v>3711</v>
      </c>
      <c r="F629" s="8" t="s">
        <v>3751</v>
      </c>
      <c r="G629" s="6" t="s">
        <v>37</v>
      </c>
      <c r="H629" s="6" t="s">
        <v>38</v>
      </c>
      <c r="I629" s="8" t="s">
        <v>94</v>
      </c>
      <c r="J629" s="9">
        <v>1</v>
      </c>
      <c r="K629" s="9">
        <v>224</v>
      </c>
      <c r="L629" s="9">
        <v>2023</v>
      </c>
      <c r="M629" s="8" t="s">
        <v>3752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3753</v>
      </c>
      <c r="S629" s="11" t="s">
        <v>3754</v>
      </c>
      <c r="T629" s="6"/>
      <c r="U629" s="28" t="str">
        <f>HYPERLINK("https://media.infra-m.ru/1921/1921415/cover/1921415.jpg", "Обложка")</f>
        <v>Обложка</v>
      </c>
      <c r="V629" s="28" t="str">
        <f>HYPERLINK("https://znanium.ru/catalog/product/965342", "Ознакомиться")</f>
        <v>Ознакомиться</v>
      </c>
      <c r="W629" s="8" t="s">
        <v>119</v>
      </c>
      <c r="X629" s="6"/>
      <c r="Y629" s="6"/>
      <c r="Z629" s="6"/>
      <c r="AA629" s="6" t="s">
        <v>59</v>
      </c>
    </row>
    <row r="630" spans="1:27" s="4" customFormat="1" ht="51.95" customHeight="1">
      <c r="A630" s="5">
        <v>0</v>
      </c>
      <c r="B630" s="6" t="s">
        <v>3755</v>
      </c>
      <c r="C630" s="7">
        <v>1084.9000000000001</v>
      </c>
      <c r="D630" s="8" t="s">
        <v>3756</v>
      </c>
      <c r="E630" s="8" t="s">
        <v>3726</v>
      </c>
      <c r="F630" s="8" t="s">
        <v>1551</v>
      </c>
      <c r="G630" s="6" t="s">
        <v>37</v>
      </c>
      <c r="H630" s="6" t="s">
        <v>38</v>
      </c>
      <c r="I630" s="8" t="s">
        <v>94</v>
      </c>
      <c r="J630" s="9">
        <v>1</v>
      </c>
      <c r="K630" s="9">
        <v>240</v>
      </c>
      <c r="L630" s="9">
        <v>2023</v>
      </c>
      <c r="M630" s="8" t="s">
        <v>3757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1426</v>
      </c>
      <c r="S630" s="11" t="s">
        <v>3758</v>
      </c>
      <c r="T630" s="6" t="s">
        <v>151</v>
      </c>
      <c r="U630" s="28" t="str">
        <f>HYPERLINK("https://media.infra-m.ru/1911/1911827/cover/1911827.jpg", "Обложка")</f>
        <v>Обложка</v>
      </c>
      <c r="V630" s="28" t="str">
        <f>HYPERLINK("https://znanium.ru/catalog/product/1003848", "Ознакомиться")</f>
        <v>Ознакомиться</v>
      </c>
      <c r="W630" s="8" t="s">
        <v>1477</v>
      </c>
      <c r="X630" s="6"/>
      <c r="Y630" s="6"/>
      <c r="Z630" s="6"/>
      <c r="AA630" s="6" t="s">
        <v>187</v>
      </c>
    </row>
    <row r="631" spans="1:27" s="4" customFormat="1" ht="51.95" customHeight="1">
      <c r="A631" s="5">
        <v>0</v>
      </c>
      <c r="B631" s="6" t="s">
        <v>3759</v>
      </c>
      <c r="C631" s="7">
        <v>1194.9000000000001</v>
      </c>
      <c r="D631" s="8" t="s">
        <v>3760</v>
      </c>
      <c r="E631" s="8" t="s">
        <v>3711</v>
      </c>
      <c r="F631" s="8" t="s">
        <v>3761</v>
      </c>
      <c r="G631" s="6" t="s">
        <v>37</v>
      </c>
      <c r="H631" s="6" t="s">
        <v>38</v>
      </c>
      <c r="I631" s="8" t="s">
        <v>192</v>
      </c>
      <c r="J631" s="9">
        <v>1</v>
      </c>
      <c r="K631" s="9">
        <v>372</v>
      </c>
      <c r="L631" s="9">
        <v>2019</v>
      </c>
      <c r="M631" s="8" t="s">
        <v>3762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1229</v>
      </c>
      <c r="S631" s="11"/>
      <c r="T631" s="6" t="s">
        <v>151</v>
      </c>
      <c r="U631" s="28" t="str">
        <f>HYPERLINK("https://media.infra-m.ru/1002/1002725/cover/1002725.jpg", "Обложка")</f>
        <v>Обложка</v>
      </c>
      <c r="V631" s="28" t="str">
        <f>HYPERLINK("https://znanium.ru/catalog/product/1002725", "Ознакомиться")</f>
        <v>Ознакомиться</v>
      </c>
      <c r="W631" s="8" t="s">
        <v>738</v>
      </c>
      <c r="X631" s="6"/>
      <c r="Y631" s="6"/>
      <c r="Z631" s="6"/>
      <c r="AA631" s="6" t="s">
        <v>258</v>
      </c>
    </row>
    <row r="632" spans="1:27" s="4" customFormat="1" ht="51.95" customHeight="1">
      <c r="A632" s="5">
        <v>0</v>
      </c>
      <c r="B632" s="6" t="s">
        <v>3763</v>
      </c>
      <c r="C632" s="13">
        <v>264.89999999999998</v>
      </c>
      <c r="D632" s="8" t="s">
        <v>3764</v>
      </c>
      <c r="E632" s="8" t="s">
        <v>3711</v>
      </c>
      <c r="F632" s="8" t="s">
        <v>3732</v>
      </c>
      <c r="G632" s="6" t="s">
        <v>53</v>
      </c>
      <c r="H632" s="6" t="s">
        <v>54</v>
      </c>
      <c r="I632" s="8" t="s">
        <v>94</v>
      </c>
      <c r="J632" s="9">
        <v>1</v>
      </c>
      <c r="K632" s="9">
        <v>88</v>
      </c>
      <c r="L632" s="9">
        <v>2023</v>
      </c>
      <c r="M632" s="8" t="s">
        <v>3765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3766</v>
      </c>
      <c r="S632" s="11"/>
      <c r="T632" s="6"/>
      <c r="U632" s="28" t="str">
        <f>HYPERLINK("https://media.infra-m.ru/1900/1900847/cover/1900847.jpg", "Обложка")</f>
        <v>Обложка</v>
      </c>
      <c r="V632" s="28" t="str">
        <f>HYPERLINK("https://znanium.ru/catalog/product/1062380", "Ознакомиться")</f>
        <v>Ознакомиться</v>
      </c>
      <c r="W632" s="8" t="s">
        <v>3735</v>
      </c>
      <c r="X632" s="6"/>
      <c r="Y632" s="6"/>
      <c r="Z632" s="6"/>
      <c r="AA632" s="6" t="s">
        <v>3767</v>
      </c>
    </row>
    <row r="633" spans="1:27" s="4" customFormat="1" ht="51.95" customHeight="1">
      <c r="A633" s="5">
        <v>0</v>
      </c>
      <c r="B633" s="6" t="s">
        <v>3768</v>
      </c>
      <c r="C633" s="7">
        <v>1134</v>
      </c>
      <c r="D633" s="8" t="s">
        <v>3769</v>
      </c>
      <c r="E633" s="8" t="s">
        <v>3711</v>
      </c>
      <c r="F633" s="8" t="s">
        <v>2251</v>
      </c>
      <c r="G633" s="6" t="s">
        <v>37</v>
      </c>
      <c r="H633" s="6" t="s">
        <v>38</v>
      </c>
      <c r="I633" s="8" t="s">
        <v>94</v>
      </c>
      <c r="J633" s="9">
        <v>1</v>
      </c>
      <c r="K633" s="9">
        <v>247</v>
      </c>
      <c r="L633" s="9">
        <v>2023</v>
      </c>
      <c r="M633" s="8" t="s">
        <v>3770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3771</v>
      </c>
      <c r="S633" s="11" t="s">
        <v>1826</v>
      </c>
      <c r="T633" s="6"/>
      <c r="U633" s="28" t="str">
        <f>HYPERLINK("https://media.infra-m.ru/1892/1892017/cover/1892017.jpg", "Обложка")</f>
        <v>Обложка</v>
      </c>
      <c r="V633" s="28" t="str">
        <f>HYPERLINK("https://znanium.ru/catalog/product/1047178", "Ознакомиться")</f>
        <v>Ознакомиться</v>
      </c>
      <c r="W633" s="8" t="s">
        <v>1310</v>
      </c>
      <c r="X633" s="6"/>
      <c r="Y633" s="6"/>
      <c r="Z633" s="6"/>
      <c r="AA633" s="6" t="s">
        <v>213</v>
      </c>
    </row>
    <row r="634" spans="1:27" s="4" customFormat="1" ht="51.95" customHeight="1">
      <c r="A634" s="5">
        <v>0</v>
      </c>
      <c r="B634" s="6" t="s">
        <v>3772</v>
      </c>
      <c r="C634" s="7">
        <v>1094</v>
      </c>
      <c r="D634" s="8" t="s">
        <v>3773</v>
      </c>
      <c r="E634" s="8" t="s">
        <v>3711</v>
      </c>
      <c r="F634" s="8" t="s">
        <v>3774</v>
      </c>
      <c r="G634" s="6" t="s">
        <v>37</v>
      </c>
      <c r="H634" s="6" t="s">
        <v>38</v>
      </c>
      <c r="I634" s="8" t="s">
        <v>94</v>
      </c>
      <c r="J634" s="9">
        <v>1</v>
      </c>
      <c r="K634" s="9">
        <v>236</v>
      </c>
      <c r="L634" s="9">
        <v>2024</v>
      </c>
      <c r="M634" s="8" t="s">
        <v>3775</v>
      </c>
      <c r="N634" s="8" t="s">
        <v>41</v>
      </c>
      <c r="O634" s="8" t="s">
        <v>96</v>
      </c>
      <c r="P634" s="6" t="s">
        <v>66</v>
      </c>
      <c r="Q634" s="8" t="s">
        <v>97</v>
      </c>
      <c r="R634" s="10" t="s">
        <v>3697</v>
      </c>
      <c r="S634" s="11" t="s">
        <v>3776</v>
      </c>
      <c r="T634" s="6"/>
      <c r="U634" s="28" t="str">
        <f>HYPERLINK("https://media.infra-m.ru/2061/2061519/cover/2061519.jpg", "Обложка")</f>
        <v>Обложка</v>
      </c>
      <c r="V634" s="28" t="str">
        <f>HYPERLINK("https://znanium.ru/catalog/product/968882", "Ознакомиться")</f>
        <v>Ознакомиться</v>
      </c>
      <c r="W634" s="8" t="s">
        <v>119</v>
      </c>
      <c r="X634" s="6"/>
      <c r="Y634" s="6"/>
      <c r="Z634" s="6"/>
      <c r="AA634" s="6" t="s">
        <v>321</v>
      </c>
    </row>
    <row r="635" spans="1:27" s="4" customFormat="1" ht="42" customHeight="1">
      <c r="A635" s="5">
        <v>0</v>
      </c>
      <c r="B635" s="6" t="s">
        <v>3777</v>
      </c>
      <c r="C635" s="13">
        <v>860</v>
      </c>
      <c r="D635" s="8" t="s">
        <v>3778</v>
      </c>
      <c r="E635" s="8" t="s">
        <v>3779</v>
      </c>
      <c r="F635" s="8" t="s">
        <v>3780</v>
      </c>
      <c r="G635" s="6" t="s">
        <v>75</v>
      </c>
      <c r="H635" s="6" t="s">
        <v>38</v>
      </c>
      <c r="I635" s="8" t="s">
        <v>39</v>
      </c>
      <c r="J635" s="9">
        <v>1</v>
      </c>
      <c r="K635" s="9">
        <v>231</v>
      </c>
      <c r="L635" s="9">
        <v>2021</v>
      </c>
      <c r="M635" s="8" t="s">
        <v>3781</v>
      </c>
      <c r="N635" s="8" t="s">
        <v>41</v>
      </c>
      <c r="O635" s="8" t="s">
        <v>42</v>
      </c>
      <c r="P635" s="6" t="s">
        <v>43</v>
      </c>
      <c r="Q635" s="8" t="s">
        <v>44</v>
      </c>
      <c r="R635" s="10" t="s">
        <v>1426</v>
      </c>
      <c r="S635" s="11"/>
      <c r="T635" s="6"/>
      <c r="U635" s="28" t="str">
        <f>HYPERLINK("https://media.infra-m.ru/1149/1149630/cover/1149630.jpg", "Обложка")</f>
        <v>Обложка</v>
      </c>
      <c r="V635" s="28" t="str">
        <f>HYPERLINK("https://znanium.ru/catalog/product/1149630", "Ознакомиться")</f>
        <v>Ознакомиться</v>
      </c>
      <c r="W635" s="8" t="s">
        <v>1310</v>
      </c>
      <c r="X635" s="6"/>
      <c r="Y635" s="6"/>
      <c r="Z635" s="6"/>
      <c r="AA635" s="6" t="s">
        <v>82</v>
      </c>
    </row>
    <row r="636" spans="1:27" s="4" customFormat="1" ht="42" customHeight="1">
      <c r="A636" s="5">
        <v>0</v>
      </c>
      <c r="B636" s="6" t="s">
        <v>3782</v>
      </c>
      <c r="C636" s="13">
        <v>590</v>
      </c>
      <c r="D636" s="8" t="s">
        <v>3783</v>
      </c>
      <c r="E636" s="8" t="s">
        <v>3784</v>
      </c>
      <c r="F636" s="8" t="s">
        <v>3785</v>
      </c>
      <c r="G636" s="6" t="s">
        <v>53</v>
      </c>
      <c r="H636" s="6" t="s">
        <v>132</v>
      </c>
      <c r="I636" s="8"/>
      <c r="J636" s="9">
        <v>1</v>
      </c>
      <c r="K636" s="9">
        <v>188</v>
      </c>
      <c r="L636" s="9">
        <v>2018</v>
      </c>
      <c r="M636" s="8" t="s">
        <v>3786</v>
      </c>
      <c r="N636" s="8" t="s">
        <v>41</v>
      </c>
      <c r="O636" s="8" t="s">
        <v>42</v>
      </c>
      <c r="P636" s="6" t="s">
        <v>43</v>
      </c>
      <c r="Q636" s="8" t="s">
        <v>67</v>
      </c>
      <c r="R636" s="10" t="s">
        <v>426</v>
      </c>
      <c r="S636" s="11"/>
      <c r="T636" s="6"/>
      <c r="U636" s="28" t="str">
        <f>HYPERLINK("https://media.infra-m.ru/0927/0927078/cover/927078.jpg", "Обложка")</f>
        <v>Обложка</v>
      </c>
      <c r="V636" s="28" t="str">
        <f>HYPERLINK("https://znanium.ru/catalog/product/881931", "Ознакомиться")</f>
        <v>Ознакомиться</v>
      </c>
      <c r="W636" s="8" t="s">
        <v>893</v>
      </c>
      <c r="X636" s="6"/>
      <c r="Y636" s="6"/>
      <c r="Z636" s="6"/>
      <c r="AA636" s="6" t="s">
        <v>213</v>
      </c>
    </row>
    <row r="637" spans="1:27" s="4" customFormat="1" ht="51.95" customHeight="1">
      <c r="A637" s="5">
        <v>0</v>
      </c>
      <c r="B637" s="6" t="s">
        <v>3787</v>
      </c>
      <c r="C637" s="13">
        <v>954</v>
      </c>
      <c r="D637" s="8" t="s">
        <v>3788</v>
      </c>
      <c r="E637" s="8" t="s">
        <v>3789</v>
      </c>
      <c r="F637" s="8" t="s">
        <v>3069</v>
      </c>
      <c r="G637" s="6" t="s">
        <v>75</v>
      </c>
      <c r="H637" s="6" t="s">
        <v>64</v>
      </c>
      <c r="I637" s="8"/>
      <c r="J637" s="9">
        <v>1</v>
      </c>
      <c r="K637" s="9">
        <v>208</v>
      </c>
      <c r="L637" s="9">
        <v>2023</v>
      </c>
      <c r="M637" s="8" t="s">
        <v>3790</v>
      </c>
      <c r="N637" s="8" t="s">
        <v>41</v>
      </c>
      <c r="O637" s="8" t="s">
        <v>42</v>
      </c>
      <c r="P637" s="6" t="s">
        <v>66</v>
      </c>
      <c r="Q637" s="8" t="s">
        <v>67</v>
      </c>
      <c r="R637" s="10" t="s">
        <v>3791</v>
      </c>
      <c r="S637" s="11"/>
      <c r="T637" s="6"/>
      <c r="U637" s="28" t="str">
        <f>HYPERLINK("https://media.infra-m.ru/2006/2006932/cover/2006932.jpg", "Обложка")</f>
        <v>Обложка</v>
      </c>
      <c r="V637" s="28" t="str">
        <f>HYPERLINK("https://znanium.ru/catalog/product/1201976", "Ознакомиться")</f>
        <v>Ознакомиться</v>
      </c>
      <c r="W637" s="8" t="s">
        <v>69</v>
      </c>
      <c r="X637" s="6"/>
      <c r="Y637" s="6"/>
      <c r="Z637" s="6"/>
      <c r="AA637" s="6" t="s">
        <v>445</v>
      </c>
    </row>
    <row r="638" spans="1:27" s="4" customFormat="1" ht="51.95" customHeight="1">
      <c r="A638" s="5">
        <v>0</v>
      </c>
      <c r="B638" s="6" t="s">
        <v>3792</v>
      </c>
      <c r="C638" s="13">
        <v>600</v>
      </c>
      <c r="D638" s="8" t="s">
        <v>3793</v>
      </c>
      <c r="E638" s="8" t="s">
        <v>3794</v>
      </c>
      <c r="F638" s="8" t="s">
        <v>3069</v>
      </c>
      <c r="G638" s="6" t="s">
        <v>37</v>
      </c>
      <c r="H638" s="6" t="s">
        <v>64</v>
      </c>
      <c r="I638" s="8"/>
      <c r="J638" s="9">
        <v>1</v>
      </c>
      <c r="K638" s="9">
        <v>176</v>
      </c>
      <c r="L638" s="9">
        <v>2018</v>
      </c>
      <c r="M638" s="8" t="s">
        <v>3795</v>
      </c>
      <c r="N638" s="8" t="s">
        <v>41</v>
      </c>
      <c r="O638" s="8" t="s">
        <v>42</v>
      </c>
      <c r="P638" s="6" t="s">
        <v>66</v>
      </c>
      <c r="Q638" s="8" t="s">
        <v>67</v>
      </c>
      <c r="R638" s="10" t="s">
        <v>3791</v>
      </c>
      <c r="S638" s="11"/>
      <c r="T638" s="6"/>
      <c r="U638" s="28" t="str">
        <f>HYPERLINK("https://media.infra-m.ru/0948/0948180/cover/948180.jpg", "Обложка")</f>
        <v>Обложка</v>
      </c>
      <c r="V638" s="28" t="str">
        <f>HYPERLINK("https://znanium.ru/catalog/product/1201976", "Ознакомиться")</f>
        <v>Ознакомиться</v>
      </c>
      <c r="W638" s="8" t="s">
        <v>69</v>
      </c>
      <c r="X638" s="6"/>
      <c r="Y638" s="6"/>
      <c r="Z638" s="6"/>
      <c r="AA638" s="6" t="s">
        <v>82</v>
      </c>
    </row>
    <row r="639" spans="1:27" s="4" customFormat="1" ht="42" customHeight="1">
      <c r="A639" s="5">
        <v>0</v>
      </c>
      <c r="B639" s="6" t="s">
        <v>3796</v>
      </c>
      <c r="C639" s="7">
        <v>1574</v>
      </c>
      <c r="D639" s="8" t="s">
        <v>3797</v>
      </c>
      <c r="E639" s="8" t="s">
        <v>3798</v>
      </c>
      <c r="F639" s="8" t="s">
        <v>3799</v>
      </c>
      <c r="G639" s="6" t="s">
        <v>37</v>
      </c>
      <c r="H639" s="6" t="s">
        <v>132</v>
      </c>
      <c r="I639" s="8"/>
      <c r="J639" s="9">
        <v>1</v>
      </c>
      <c r="K639" s="9">
        <v>343</v>
      </c>
      <c r="L639" s="9">
        <v>2024</v>
      </c>
      <c r="M639" s="8" t="s">
        <v>3800</v>
      </c>
      <c r="N639" s="8" t="s">
        <v>41</v>
      </c>
      <c r="O639" s="8" t="s">
        <v>42</v>
      </c>
      <c r="P639" s="6" t="s">
        <v>78</v>
      </c>
      <c r="Q639" s="8" t="s">
        <v>67</v>
      </c>
      <c r="R639" s="10" t="s">
        <v>2835</v>
      </c>
      <c r="S639" s="11"/>
      <c r="T639" s="6"/>
      <c r="U639" s="28" t="str">
        <f>HYPERLINK("https://media.infra-m.ru/2079/2079595/cover/2079595.jpg", "Обложка")</f>
        <v>Обложка</v>
      </c>
      <c r="V639" s="28" t="str">
        <f>HYPERLINK("https://znanium.ru/catalog/product/1167949", "Ознакомиться")</f>
        <v>Ознакомиться</v>
      </c>
      <c r="W639" s="8" t="s">
        <v>119</v>
      </c>
      <c r="X639" s="6"/>
      <c r="Y639" s="6"/>
      <c r="Z639" s="6"/>
      <c r="AA639" s="6" t="s">
        <v>134</v>
      </c>
    </row>
    <row r="640" spans="1:27" s="4" customFormat="1" ht="44.1" customHeight="1">
      <c r="A640" s="5">
        <v>0</v>
      </c>
      <c r="B640" s="6" t="s">
        <v>3801</v>
      </c>
      <c r="C640" s="7">
        <v>1714.9</v>
      </c>
      <c r="D640" s="8" t="s">
        <v>3802</v>
      </c>
      <c r="E640" s="8" t="s">
        <v>3803</v>
      </c>
      <c r="F640" s="8" t="s">
        <v>3804</v>
      </c>
      <c r="G640" s="6" t="s">
        <v>37</v>
      </c>
      <c r="H640" s="6" t="s">
        <v>132</v>
      </c>
      <c r="I640" s="8"/>
      <c r="J640" s="9">
        <v>1</v>
      </c>
      <c r="K640" s="9">
        <v>464</v>
      </c>
      <c r="L640" s="9">
        <v>2021</v>
      </c>
      <c r="M640" s="8" t="s">
        <v>3805</v>
      </c>
      <c r="N640" s="8" t="s">
        <v>41</v>
      </c>
      <c r="O640" s="8" t="s">
        <v>42</v>
      </c>
      <c r="P640" s="6" t="s">
        <v>78</v>
      </c>
      <c r="Q640" s="8" t="s">
        <v>97</v>
      </c>
      <c r="R640" s="10" t="s">
        <v>3806</v>
      </c>
      <c r="S640" s="11"/>
      <c r="T640" s="6" t="s">
        <v>151</v>
      </c>
      <c r="U640" s="28" t="str">
        <f>HYPERLINK("https://media.infra-m.ru/1658/1658736/cover/1658736.jpg", "Обложка")</f>
        <v>Обложка</v>
      </c>
      <c r="V640" s="28" t="str">
        <f>HYPERLINK("https://znanium.ru/catalog/product/1658736", "Ознакомиться")</f>
        <v>Ознакомиться</v>
      </c>
      <c r="W640" s="8" t="s">
        <v>119</v>
      </c>
      <c r="X640" s="6"/>
      <c r="Y640" s="6"/>
      <c r="Z640" s="6"/>
      <c r="AA640" s="6" t="s">
        <v>321</v>
      </c>
    </row>
    <row r="641" spans="1:27" s="4" customFormat="1" ht="51.95" customHeight="1">
      <c r="A641" s="5">
        <v>0</v>
      </c>
      <c r="B641" s="6" t="s">
        <v>3807</v>
      </c>
      <c r="C641" s="7">
        <v>1274</v>
      </c>
      <c r="D641" s="8" t="s">
        <v>3808</v>
      </c>
      <c r="E641" s="8" t="s">
        <v>3809</v>
      </c>
      <c r="F641" s="8" t="s">
        <v>3810</v>
      </c>
      <c r="G641" s="6" t="s">
        <v>37</v>
      </c>
      <c r="H641" s="6" t="s">
        <v>38</v>
      </c>
      <c r="I641" s="8" t="s">
        <v>94</v>
      </c>
      <c r="J641" s="9">
        <v>1</v>
      </c>
      <c r="K641" s="9">
        <v>280</v>
      </c>
      <c r="L641" s="9">
        <v>2023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378</v>
      </c>
      <c r="S641" s="11" t="s">
        <v>195</v>
      </c>
      <c r="T641" s="6"/>
      <c r="U641" s="28" t="str">
        <f>HYPERLINK("https://media.infra-m.ru/2021/2021410/cover/2021410.jpg", "Обложка")</f>
        <v>Обложка</v>
      </c>
      <c r="V641" s="28" t="str">
        <f>HYPERLINK("https://znanium.ru/catalog/product/989921", "Ознакомиться")</f>
        <v>Ознакомиться</v>
      </c>
      <c r="W641" s="8" t="s">
        <v>219</v>
      </c>
      <c r="X641" s="6"/>
      <c r="Y641" s="6"/>
      <c r="Z641" s="6"/>
      <c r="AA641" s="6" t="s">
        <v>173</v>
      </c>
    </row>
    <row r="642" spans="1:27" s="4" customFormat="1" ht="51.95" customHeight="1">
      <c r="A642" s="5">
        <v>0</v>
      </c>
      <c r="B642" s="6" t="s">
        <v>3812</v>
      </c>
      <c r="C642" s="7">
        <v>2194.9</v>
      </c>
      <c r="D642" s="8" t="s">
        <v>3813</v>
      </c>
      <c r="E642" s="8" t="s">
        <v>3814</v>
      </c>
      <c r="F642" s="8" t="s">
        <v>3815</v>
      </c>
      <c r="G642" s="6" t="s">
        <v>75</v>
      </c>
      <c r="H642" s="6" t="s">
        <v>38</v>
      </c>
      <c r="I642" s="8" t="s">
        <v>94</v>
      </c>
      <c r="J642" s="9">
        <v>1</v>
      </c>
      <c r="K642" s="9">
        <v>622</v>
      </c>
      <c r="L642" s="9">
        <v>2023</v>
      </c>
      <c r="M642" s="8" t="s">
        <v>3816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3817</v>
      </c>
      <c r="S642" s="11" t="s">
        <v>3818</v>
      </c>
      <c r="T642" s="6" t="s">
        <v>151</v>
      </c>
      <c r="U642" s="28" t="str">
        <f>HYPERLINK("https://media.infra-m.ru/1900/1900719/cover/1900719.jpg", "Обложка")</f>
        <v>Обложка</v>
      </c>
      <c r="V642" s="28" t="str">
        <f>HYPERLINK("https://znanium.ru/catalog/product/1900719", "Ознакомиться")</f>
        <v>Ознакомиться</v>
      </c>
      <c r="W642" s="8" t="s">
        <v>119</v>
      </c>
      <c r="X642" s="6"/>
      <c r="Y642" s="6"/>
      <c r="Z642" s="6"/>
      <c r="AA642" s="6" t="s">
        <v>3542</v>
      </c>
    </row>
    <row r="643" spans="1:27" s="4" customFormat="1" ht="51.95" customHeight="1">
      <c r="A643" s="5">
        <v>0</v>
      </c>
      <c r="B643" s="6" t="s">
        <v>3819</v>
      </c>
      <c r="C643" s="13">
        <v>894.9</v>
      </c>
      <c r="D643" s="8" t="s">
        <v>3820</v>
      </c>
      <c r="E643" s="8" t="s">
        <v>3821</v>
      </c>
      <c r="F643" s="8" t="s">
        <v>3822</v>
      </c>
      <c r="G643" s="6" t="s">
        <v>37</v>
      </c>
      <c r="H643" s="6" t="s">
        <v>38</v>
      </c>
      <c r="I643" s="8" t="s">
        <v>192</v>
      </c>
      <c r="J643" s="9">
        <v>10</v>
      </c>
      <c r="K643" s="9">
        <v>784</v>
      </c>
      <c r="L643" s="9">
        <v>2016</v>
      </c>
      <c r="M643" s="8" t="s">
        <v>3823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3817</v>
      </c>
      <c r="S643" s="11" t="s">
        <v>3824</v>
      </c>
      <c r="T643" s="6"/>
      <c r="U643" s="28" t="str">
        <f>HYPERLINK("https://media.infra-m.ru/0548/0548451/cover/548451.jpg", "Обложка")</f>
        <v>Обложка</v>
      </c>
      <c r="V643" s="28" t="str">
        <f>HYPERLINK("https://znanium.ru/catalog/product/1900719", "Ознакомиться")</f>
        <v>Ознакомиться</v>
      </c>
      <c r="W643" s="8" t="s">
        <v>119</v>
      </c>
      <c r="X643" s="6"/>
      <c r="Y643" s="6"/>
      <c r="Z643" s="6"/>
      <c r="AA643" s="6" t="s">
        <v>3825</v>
      </c>
    </row>
    <row r="644" spans="1:27" s="4" customFormat="1" ht="51.95" customHeight="1">
      <c r="A644" s="5">
        <v>0</v>
      </c>
      <c r="B644" s="6" t="s">
        <v>3826</v>
      </c>
      <c r="C644" s="7">
        <v>1090</v>
      </c>
      <c r="D644" s="8" t="s">
        <v>3827</v>
      </c>
      <c r="E644" s="8" t="s">
        <v>3828</v>
      </c>
      <c r="F644" s="8" t="s">
        <v>2251</v>
      </c>
      <c r="G644" s="6" t="s">
        <v>37</v>
      </c>
      <c r="H644" s="6" t="s">
        <v>38</v>
      </c>
      <c r="I644" s="8" t="s">
        <v>192</v>
      </c>
      <c r="J644" s="9">
        <v>1</v>
      </c>
      <c r="K644" s="9">
        <v>222</v>
      </c>
      <c r="L644" s="9">
        <v>2024</v>
      </c>
      <c r="M644" s="8" t="s">
        <v>3829</v>
      </c>
      <c r="N644" s="8" t="s">
        <v>41</v>
      </c>
      <c r="O644" s="8" t="s">
        <v>42</v>
      </c>
      <c r="P644" s="6" t="s">
        <v>78</v>
      </c>
      <c r="Q644" s="8" t="s">
        <v>97</v>
      </c>
      <c r="R644" s="10" t="s">
        <v>3830</v>
      </c>
      <c r="S644" s="11"/>
      <c r="T644" s="6"/>
      <c r="U644" s="28" t="str">
        <f>HYPERLINK("https://media.infra-m.ru/1846/1846126/cover/1846126.jpg", "Обложка")</f>
        <v>Обложка</v>
      </c>
      <c r="V644" s="28" t="str">
        <f>HYPERLINK("https://znanium.ru/catalog/product/1846126", "Ознакомиться")</f>
        <v>Ознакомиться</v>
      </c>
      <c r="W644" s="8" t="s">
        <v>1310</v>
      </c>
      <c r="X644" s="6" t="s">
        <v>346</v>
      </c>
      <c r="Y644" s="6"/>
      <c r="Z644" s="6"/>
      <c r="AA644" s="6" t="s">
        <v>48</v>
      </c>
    </row>
    <row r="645" spans="1:27" s="4" customFormat="1" ht="42" customHeight="1">
      <c r="A645" s="5">
        <v>0</v>
      </c>
      <c r="B645" s="6" t="s">
        <v>3831</v>
      </c>
      <c r="C645" s="13">
        <v>650</v>
      </c>
      <c r="D645" s="8" t="s">
        <v>3832</v>
      </c>
      <c r="E645" s="8" t="s">
        <v>3833</v>
      </c>
      <c r="F645" s="8" t="s">
        <v>3834</v>
      </c>
      <c r="G645" s="6" t="s">
        <v>53</v>
      </c>
      <c r="H645" s="6" t="s">
        <v>54</v>
      </c>
      <c r="I645" s="8" t="s">
        <v>3835</v>
      </c>
      <c r="J645" s="9">
        <v>1</v>
      </c>
      <c r="K645" s="9">
        <v>154</v>
      </c>
      <c r="L645" s="9">
        <v>2022</v>
      </c>
      <c r="M645" s="8" t="s">
        <v>3836</v>
      </c>
      <c r="N645" s="8" t="s">
        <v>41</v>
      </c>
      <c r="O645" s="8" t="s">
        <v>42</v>
      </c>
      <c r="P645" s="6" t="s">
        <v>66</v>
      </c>
      <c r="Q645" s="8" t="s">
        <v>3837</v>
      </c>
      <c r="R645" s="10" t="s">
        <v>558</v>
      </c>
      <c r="S645" s="11"/>
      <c r="T645" s="6"/>
      <c r="U645" s="28" t="str">
        <f>HYPERLINK("https://media.infra-m.ru/1870/1870758/cover/1870758.jpg", "Обложка")</f>
        <v>Обложка</v>
      </c>
      <c r="V645" s="28" t="str">
        <f>HYPERLINK("https://znanium.ru/catalog/product/1870758", "Ознакомиться")</f>
        <v>Ознакомиться</v>
      </c>
      <c r="W645" s="8" t="s">
        <v>219</v>
      </c>
      <c r="X645" s="6"/>
      <c r="Y645" s="6"/>
      <c r="Z645" s="6"/>
      <c r="AA645" s="6" t="s">
        <v>187</v>
      </c>
    </row>
    <row r="646" spans="1:27" s="4" customFormat="1" ht="51.95" customHeight="1">
      <c r="A646" s="5">
        <v>0</v>
      </c>
      <c r="B646" s="6" t="s">
        <v>3838</v>
      </c>
      <c r="C646" s="7">
        <v>1870</v>
      </c>
      <c r="D646" s="8" t="s">
        <v>3839</v>
      </c>
      <c r="E646" s="8" t="s">
        <v>3840</v>
      </c>
      <c r="F646" s="8" t="s">
        <v>3841</v>
      </c>
      <c r="G646" s="6" t="s">
        <v>75</v>
      </c>
      <c r="H646" s="6" t="s">
        <v>38</v>
      </c>
      <c r="I646" s="8" t="s">
        <v>192</v>
      </c>
      <c r="J646" s="9">
        <v>1</v>
      </c>
      <c r="K646" s="9">
        <v>398</v>
      </c>
      <c r="L646" s="9">
        <v>2024</v>
      </c>
      <c r="M646" s="8" t="s">
        <v>3842</v>
      </c>
      <c r="N646" s="8" t="s">
        <v>41</v>
      </c>
      <c r="O646" s="8" t="s">
        <v>42</v>
      </c>
      <c r="P646" s="6" t="s">
        <v>66</v>
      </c>
      <c r="Q646" s="8" t="s">
        <v>141</v>
      </c>
      <c r="R646" s="10" t="s">
        <v>3680</v>
      </c>
      <c r="S646" s="11" t="s">
        <v>3843</v>
      </c>
      <c r="T646" s="6" t="s">
        <v>151</v>
      </c>
      <c r="U646" s="28" t="str">
        <f>HYPERLINK("https://media.infra-m.ru/2082/2082928/cover/2082928.jpg", "Обложка")</f>
        <v>Обложка</v>
      </c>
      <c r="V646" s="28" t="str">
        <f>HYPERLINK("https://znanium.ru/catalog/product/2082928", "Ознакомиться")</f>
        <v>Ознакомиться</v>
      </c>
      <c r="W646" s="8" t="s">
        <v>3844</v>
      </c>
      <c r="X646" s="6"/>
      <c r="Y646" s="6"/>
      <c r="Z646" s="6"/>
      <c r="AA646" s="6" t="s">
        <v>101</v>
      </c>
    </row>
    <row r="647" spans="1:27" s="4" customFormat="1" ht="51.95" customHeight="1">
      <c r="A647" s="5">
        <v>0</v>
      </c>
      <c r="B647" s="6" t="s">
        <v>3845</v>
      </c>
      <c r="C647" s="7">
        <v>1500</v>
      </c>
      <c r="D647" s="8" t="s">
        <v>3846</v>
      </c>
      <c r="E647" s="8" t="s">
        <v>3847</v>
      </c>
      <c r="F647" s="8" t="s">
        <v>3848</v>
      </c>
      <c r="G647" s="6" t="s">
        <v>75</v>
      </c>
      <c r="H647" s="6" t="s">
        <v>38</v>
      </c>
      <c r="I647" s="8" t="s">
        <v>115</v>
      </c>
      <c r="J647" s="9">
        <v>1</v>
      </c>
      <c r="K647" s="9">
        <v>313</v>
      </c>
      <c r="L647" s="9">
        <v>2023</v>
      </c>
      <c r="M647" s="8" t="s">
        <v>3849</v>
      </c>
      <c r="N647" s="8" t="s">
        <v>41</v>
      </c>
      <c r="O647" s="8" t="s">
        <v>42</v>
      </c>
      <c r="P647" s="6" t="s">
        <v>78</v>
      </c>
      <c r="Q647" s="8" t="s">
        <v>67</v>
      </c>
      <c r="R647" s="10" t="s">
        <v>426</v>
      </c>
      <c r="S647" s="11" t="s">
        <v>3850</v>
      </c>
      <c r="T647" s="6"/>
      <c r="U647" s="28" t="str">
        <f>HYPERLINK("https://media.infra-m.ru/2001/2001663/cover/2001663.jpg", "Обложка")</f>
        <v>Обложка</v>
      </c>
      <c r="V647" s="28" t="str">
        <f>HYPERLINK("https://znanium.ru/catalog/product/2001663", "Ознакомиться")</f>
        <v>Ознакомиться</v>
      </c>
      <c r="W647" s="8" t="s">
        <v>119</v>
      </c>
      <c r="X647" s="6"/>
      <c r="Y647" s="6"/>
      <c r="Z647" s="6"/>
      <c r="AA647" s="6" t="s">
        <v>70</v>
      </c>
    </row>
    <row r="648" spans="1:27" s="4" customFormat="1" ht="51.95" customHeight="1">
      <c r="A648" s="5">
        <v>0</v>
      </c>
      <c r="B648" s="6" t="s">
        <v>3851</v>
      </c>
      <c r="C648" s="7">
        <v>2750</v>
      </c>
      <c r="D648" s="8" t="s">
        <v>3852</v>
      </c>
      <c r="E648" s="8" t="s">
        <v>3853</v>
      </c>
      <c r="F648" s="8" t="s">
        <v>3854</v>
      </c>
      <c r="G648" s="6" t="s">
        <v>37</v>
      </c>
      <c r="H648" s="6" t="s">
        <v>38</v>
      </c>
      <c r="I648" s="8" t="s">
        <v>192</v>
      </c>
      <c r="J648" s="9">
        <v>1</v>
      </c>
      <c r="K648" s="9">
        <v>612</v>
      </c>
      <c r="L648" s="9">
        <v>2023</v>
      </c>
      <c r="M648" s="8" t="s">
        <v>3855</v>
      </c>
      <c r="N648" s="8" t="s">
        <v>41</v>
      </c>
      <c r="O648" s="8" t="s">
        <v>42</v>
      </c>
      <c r="P648" s="6" t="s">
        <v>78</v>
      </c>
      <c r="Q648" s="8" t="s">
        <v>97</v>
      </c>
      <c r="R648" s="10" t="s">
        <v>3856</v>
      </c>
      <c r="S648" s="11" t="s">
        <v>3857</v>
      </c>
      <c r="T648" s="6"/>
      <c r="U648" s="28" t="str">
        <f>HYPERLINK("https://media.infra-m.ru/0447/0447391/cover/447391.jpg", "Обложка")</f>
        <v>Обложка</v>
      </c>
      <c r="V648" s="28" t="str">
        <f>HYPERLINK("https://znanium.ru/catalog/product/447391", "Ознакомиться")</f>
        <v>Ознакомиться</v>
      </c>
      <c r="W648" s="8" t="s">
        <v>1354</v>
      </c>
      <c r="X648" s="6" t="s">
        <v>3647</v>
      </c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3858</v>
      </c>
      <c r="C649" s="7">
        <v>2304</v>
      </c>
      <c r="D649" s="8" t="s">
        <v>3859</v>
      </c>
      <c r="E649" s="8" t="s">
        <v>3853</v>
      </c>
      <c r="F649" s="8" t="s">
        <v>3860</v>
      </c>
      <c r="G649" s="6" t="s">
        <v>75</v>
      </c>
      <c r="H649" s="6" t="s">
        <v>352</v>
      </c>
      <c r="I649" s="8"/>
      <c r="J649" s="9">
        <v>1</v>
      </c>
      <c r="K649" s="9">
        <v>912</v>
      </c>
      <c r="L649" s="9">
        <v>2024</v>
      </c>
      <c r="M649" s="8" t="s">
        <v>3861</v>
      </c>
      <c r="N649" s="8" t="s">
        <v>41</v>
      </c>
      <c r="O649" s="8" t="s">
        <v>42</v>
      </c>
      <c r="P649" s="6" t="s">
        <v>78</v>
      </c>
      <c r="Q649" s="8" t="s">
        <v>97</v>
      </c>
      <c r="R649" s="10" t="s">
        <v>3862</v>
      </c>
      <c r="S649" s="11" t="s">
        <v>3863</v>
      </c>
      <c r="T649" s="6"/>
      <c r="U649" s="28" t="str">
        <f>HYPERLINK("https://media.infra-m.ru/2145/2145208/cover/2145208.jpg", "Обложка")</f>
        <v>Обложка</v>
      </c>
      <c r="V649" s="28" t="str">
        <f>HYPERLINK("https://znanium.ru/catalog/product/1932278", "Ознакомиться")</f>
        <v>Ознакомиться</v>
      </c>
      <c r="W649" s="8" t="s">
        <v>3864</v>
      </c>
      <c r="X649" s="6"/>
      <c r="Y649" s="6"/>
      <c r="Z649" s="6"/>
      <c r="AA649" s="6" t="s">
        <v>3865</v>
      </c>
    </row>
    <row r="650" spans="1:27" s="4" customFormat="1" ht="51.95" customHeight="1">
      <c r="A650" s="5">
        <v>0</v>
      </c>
      <c r="B650" s="6" t="s">
        <v>3866</v>
      </c>
      <c r="C650" s="13">
        <v>960</v>
      </c>
      <c r="D650" s="8" t="s">
        <v>3867</v>
      </c>
      <c r="E650" s="8" t="s">
        <v>3868</v>
      </c>
      <c r="F650" s="8" t="s">
        <v>3869</v>
      </c>
      <c r="G650" s="6" t="s">
        <v>75</v>
      </c>
      <c r="H650" s="6" t="s">
        <v>38</v>
      </c>
      <c r="I650" s="8" t="s">
        <v>76</v>
      </c>
      <c r="J650" s="9">
        <v>1</v>
      </c>
      <c r="K650" s="9">
        <v>201</v>
      </c>
      <c r="L650" s="9">
        <v>2024</v>
      </c>
      <c r="M650" s="8" t="s">
        <v>3870</v>
      </c>
      <c r="N650" s="8" t="s">
        <v>41</v>
      </c>
      <c r="O650" s="8" t="s">
        <v>42</v>
      </c>
      <c r="P650" s="6" t="s">
        <v>78</v>
      </c>
      <c r="Q650" s="8" t="s">
        <v>67</v>
      </c>
      <c r="R650" s="10" t="s">
        <v>3871</v>
      </c>
      <c r="S650" s="11" t="s">
        <v>3872</v>
      </c>
      <c r="T650" s="6"/>
      <c r="U650" s="28" t="str">
        <f>HYPERLINK("https://media.infra-m.ru/2102/2102662/cover/2102662.jpg", "Обложка")</f>
        <v>Обложка</v>
      </c>
      <c r="V650" s="28" t="str">
        <f>HYPERLINK("https://znanium.ru/catalog/product/2102662", "Ознакомиться")</f>
        <v>Ознакомиться</v>
      </c>
      <c r="W650" s="8" t="s">
        <v>46</v>
      </c>
      <c r="X650" s="6"/>
      <c r="Y650" s="6"/>
      <c r="Z650" s="6"/>
      <c r="AA650" s="6" t="s">
        <v>70</v>
      </c>
    </row>
    <row r="651" spans="1:27" s="4" customFormat="1" ht="51.95" customHeight="1">
      <c r="A651" s="5">
        <v>0</v>
      </c>
      <c r="B651" s="6" t="s">
        <v>3873</v>
      </c>
      <c r="C651" s="13">
        <v>464.9</v>
      </c>
      <c r="D651" s="8" t="s">
        <v>3874</v>
      </c>
      <c r="E651" s="8" t="s">
        <v>3875</v>
      </c>
      <c r="F651" s="8" t="s">
        <v>2251</v>
      </c>
      <c r="G651" s="6" t="s">
        <v>53</v>
      </c>
      <c r="H651" s="6" t="s">
        <v>38</v>
      </c>
      <c r="I651" s="8" t="s">
        <v>94</v>
      </c>
      <c r="J651" s="9">
        <v>1</v>
      </c>
      <c r="K651" s="9">
        <v>175</v>
      </c>
      <c r="L651" s="9">
        <v>2018</v>
      </c>
      <c r="M651" s="8" t="s">
        <v>3876</v>
      </c>
      <c r="N651" s="8" t="s">
        <v>41</v>
      </c>
      <c r="O651" s="8" t="s">
        <v>42</v>
      </c>
      <c r="P651" s="6" t="s">
        <v>66</v>
      </c>
      <c r="Q651" s="8" t="s">
        <v>97</v>
      </c>
      <c r="R651" s="10" t="s">
        <v>3877</v>
      </c>
      <c r="S651" s="11" t="s">
        <v>647</v>
      </c>
      <c r="T651" s="6"/>
      <c r="U651" s="28" t="str">
        <f>HYPERLINK("https://media.infra-m.ru/0959/0959988/cover/959988.jpg", "Обложка")</f>
        <v>Обложка</v>
      </c>
      <c r="V651" s="28" t="str">
        <f>HYPERLINK("https://znanium.ru/catalog/product/959988", "Ознакомиться")</f>
        <v>Ознакомиться</v>
      </c>
      <c r="W651" s="8" t="s">
        <v>1310</v>
      </c>
      <c r="X651" s="6"/>
      <c r="Y651" s="6"/>
      <c r="Z651" s="6"/>
      <c r="AA651" s="6" t="s">
        <v>89</v>
      </c>
    </row>
    <row r="652" spans="1:27" s="4" customFormat="1" ht="51.95" customHeight="1">
      <c r="A652" s="5">
        <v>0</v>
      </c>
      <c r="B652" s="6" t="s">
        <v>3878</v>
      </c>
      <c r="C652" s="7">
        <v>1474.9</v>
      </c>
      <c r="D652" s="8" t="s">
        <v>3879</v>
      </c>
      <c r="E652" s="8" t="s">
        <v>3880</v>
      </c>
      <c r="F652" s="8" t="s">
        <v>3881</v>
      </c>
      <c r="G652" s="6" t="s">
        <v>37</v>
      </c>
      <c r="H652" s="6" t="s">
        <v>352</v>
      </c>
      <c r="I652" s="8"/>
      <c r="J652" s="9">
        <v>1</v>
      </c>
      <c r="K652" s="9">
        <v>352</v>
      </c>
      <c r="L652" s="9">
        <v>2023</v>
      </c>
      <c r="M652" s="8" t="s">
        <v>3882</v>
      </c>
      <c r="N652" s="8" t="s">
        <v>41</v>
      </c>
      <c r="O652" s="8" t="s">
        <v>42</v>
      </c>
      <c r="P652" s="6" t="s">
        <v>78</v>
      </c>
      <c r="Q652" s="8" t="s">
        <v>97</v>
      </c>
      <c r="R652" s="10" t="s">
        <v>3883</v>
      </c>
      <c r="S652" s="11" t="s">
        <v>3884</v>
      </c>
      <c r="T652" s="6"/>
      <c r="U652" s="28" t="str">
        <f>HYPERLINK("https://media.infra-m.ru/1891/1891638/cover/1891638.jpg", "Обложка")</f>
        <v>Обложка</v>
      </c>
      <c r="V652" s="28" t="str">
        <f>HYPERLINK("https://znanium.ru/catalog/product/1891638", "Ознакомиться")</f>
        <v>Ознакомиться</v>
      </c>
      <c r="W652" s="8" t="s">
        <v>46</v>
      </c>
      <c r="X652" s="6"/>
      <c r="Y652" s="6"/>
      <c r="Z652" s="6"/>
      <c r="AA652" s="6" t="s">
        <v>613</v>
      </c>
    </row>
    <row r="653" spans="1:27" s="4" customFormat="1" ht="51.95" customHeight="1">
      <c r="A653" s="5">
        <v>0</v>
      </c>
      <c r="B653" s="6" t="s">
        <v>3885</v>
      </c>
      <c r="C653" s="7">
        <v>1280</v>
      </c>
      <c r="D653" s="8" t="s">
        <v>3886</v>
      </c>
      <c r="E653" s="8" t="s">
        <v>3887</v>
      </c>
      <c r="F653" s="8" t="s">
        <v>3888</v>
      </c>
      <c r="G653" s="6" t="s">
        <v>75</v>
      </c>
      <c r="H653" s="6" t="s">
        <v>38</v>
      </c>
      <c r="I653" s="8" t="s">
        <v>94</v>
      </c>
      <c r="J653" s="9">
        <v>1</v>
      </c>
      <c r="K653" s="9">
        <v>285</v>
      </c>
      <c r="L653" s="9">
        <v>2023</v>
      </c>
      <c r="M653" s="8" t="s">
        <v>3889</v>
      </c>
      <c r="N653" s="8" t="s">
        <v>41</v>
      </c>
      <c r="O653" s="8" t="s">
        <v>42</v>
      </c>
      <c r="P653" s="6" t="s">
        <v>66</v>
      </c>
      <c r="Q653" s="8" t="s">
        <v>97</v>
      </c>
      <c r="R653" s="10" t="s">
        <v>768</v>
      </c>
      <c r="S653" s="11" t="s">
        <v>3890</v>
      </c>
      <c r="T653" s="6"/>
      <c r="U653" s="28" t="str">
        <f>HYPERLINK("https://media.infra-m.ru/1932/1932277/cover/1932277.jpg", "Обложка")</f>
        <v>Обложка</v>
      </c>
      <c r="V653" s="28" t="str">
        <f>HYPERLINK("https://znanium.ru/catalog/product/1932277", "Ознакомиться")</f>
        <v>Ознакомиться</v>
      </c>
      <c r="W653" s="8" t="s">
        <v>1477</v>
      </c>
      <c r="X653" s="6"/>
      <c r="Y653" s="6"/>
      <c r="Z653" s="6"/>
      <c r="AA653" s="6" t="s">
        <v>405</v>
      </c>
    </row>
    <row r="654" spans="1:27" s="4" customFormat="1" ht="51.95" customHeight="1">
      <c r="A654" s="5">
        <v>0</v>
      </c>
      <c r="B654" s="6" t="s">
        <v>3891</v>
      </c>
      <c r="C654" s="7">
        <v>1424.9</v>
      </c>
      <c r="D654" s="8" t="s">
        <v>3892</v>
      </c>
      <c r="E654" s="8" t="s">
        <v>3887</v>
      </c>
      <c r="F654" s="8" t="s">
        <v>3893</v>
      </c>
      <c r="G654" s="6" t="s">
        <v>37</v>
      </c>
      <c r="H654" s="6" t="s">
        <v>38</v>
      </c>
      <c r="I654" s="8" t="s">
        <v>94</v>
      </c>
      <c r="J654" s="9">
        <v>1</v>
      </c>
      <c r="K654" s="9">
        <v>375</v>
      </c>
      <c r="L654" s="9">
        <v>2022</v>
      </c>
      <c r="M654" s="8" t="s">
        <v>3894</v>
      </c>
      <c r="N654" s="8" t="s">
        <v>41</v>
      </c>
      <c r="O654" s="8" t="s">
        <v>42</v>
      </c>
      <c r="P654" s="6" t="s">
        <v>78</v>
      </c>
      <c r="Q654" s="8" t="s">
        <v>97</v>
      </c>
      <c r="R654" s="10" t="s">
        <v>179</v>
      </c>
      <c r="S654" s="11" t="s">
        <v>3754</v>
      </c>
      <c r="T654" s="6"/>
      <c r="U654" s="28" t="str">
        <f>HYPERLINK("https://media.infra-m.ru/1844/1844294/cover/1844294.jpg", "Обложка")</f>
        <v>Обложка</v>
      </c>
      <c r="V654" s="28" t="str">
        <f>HYPERLINK("https://znanium.ru/catalog/product/1072215", "Ознакомиться")</f>
        <v>Ознакомиться</v>
      </c>
      <c r="W654" s="8" t="s">
        <v>46</v>
      </c>
      <c r="X654" s="6"/>
      <c r="Y654" s="6"/>
      <c r="Z654" s="6"/>
      <c r="AA654" s="6" t="s">
        <v>59</v>
      </c>
    </row>
    <row r="655" spans="1:27" s="4" customFormat="1" ht="51.95" customHeight="1">
      <c r="A655" s="5">
        <v>0</v>
      </c>
      <c r="B655" s="6" t="s">
        <v>3895</v>
      </c>
      <c r="C655" s="7">
        <v>1344</v>
      </c>
      <c r="D655" s="8" t="s">
        <v>3896</v>
      </c>
      <c r="E655" s="8" t="s">
        <v>3887</v>
      </c>
      <c r="F655" s="8" t="s">
        <v>3888</v>
      </c>
      <c r="G655" s="6" t="s">
        <v>37</v>
      </c>
      <c r="H655" s="6" t="s">
        <v>38</v>
      </c>
      <c r="I655" s="8" t="s">
        <v>199</v>
      </c>
      <c r="J655" s="9">
        <v>1</v>
      </c>
      <c r="K655" s="9">
        <v>285</v>
      </c>
      <c r="L655" s="9">
        <v>2024</v>
      </c>
      <c r="M655" s="8" t="s">
        <v>3897</v>
      </c>
      <c r="N655" s="8" t="s">
        <v>41</v>
      </c>
      <c r="O655" s="8" t="s">
        <v>42</v>
      </c>
      <c r="P655" s="6" t="s">
        <v>66</v>
      </c>
      <c r="Q655" s="8" t="s">
        <v>201</v>
      </c>
      <c r="R655" s="10" t="s">
        <v>3601</v>
      </c>
      <c r="S655" s="11" t="s">
        <v>3898</v>
      </c>
      <c r="T655" s="6"/>
      <c r="U655" s="28" t="str">
        <f>HYPERLINK("https://media.infra-m.ru/2130/2130240/cover/2130240.jpg", "Обложка")</f>
        <v>Обложка</v>
      </c>
      <c r="V655" s="28" t="str">
        <f>HYPERLINK("https://znanium.ru/catalog/product/1843215", "Ознакомиться")</f>
        <v>Ознакомиться</v>
      </c>
      <c r="W655" s="8" t="s">
        <v>1477</v>
      </c>
      <c r="X655" s="6"/>
      <c r="Y655" s="6"/>
      <c r="Z655" s="6" t="s">
        <v>204</v>
      </c>
      <c r="AA655" s="6" t="s">
        <v>405</v>
      </c>
    </row>
    <row r="656" spans="1:27" s="4" customFormat="1" ht="51.95" customHeight="1">
      <c r="A656" s="5">
        <v>0</v>
      </c>
      <c r="B656" s="6" t="s">
        <v>3899</v>
      </c>
      <c r="C656" s="7">
        <v>1104</v>
      </c>
      <c r="D656" s="8" t="s">
        <v>3900</v>
      </c>
      <c r="E656" s="8" t="s">
        <v>3901</v>
      </c>
      <c r="F656" s="8" t="s">
        <v>920</v>
      </c>
      <c r="G656" s="6" t="s">
        <v>37</v>
      </c>
      <c r="H656" s="6" t="s">
        <v>38</v>
      </c>
      <c r="I656" s="8" t="s">
        <v>192</v>
      </c>
      <c r="J656" s="9">
        <v>1</v>
      </c>
      <c r="K656" s="9">
        <v>240</v>
      </c>
      <c r="L656" s="9">
        <v>2024</v>
      </c>
      <c r="M656" s="8" t="s">
        <v>3902</v>
      </c>
      <c r="N656" s="8" t="s">
        <v>41</v>
      </c>
      <c r="O656" s="8" t="s">
        <v>42</v>
      </c>
      <c r="P656" s="6" t="s">
        <v>66</v>
      </c>
      <c r="Q656" s="8" t="s">
        <v>97</v>
      </c>
      <c r="R656" s="10" t="s">
        <v>3903</v>
      </c>
      <c r="S656" s="11" t="s">
        <v>3904</v>
      </c>
      <c r="T656" s="6"/>
      <c r="U656" s="28" t="str">
        <f>HYPERLINK("https://media.infra-m.ru/2056/2056616/cover/2056616.jpg", "Обложка")</f>
        <v>Обложка</v>
      </c>
      <c r="V656" s="28" t="str">
        <f>HYPERLINK("https://znanium.ru/catalog/product/2056616", "Ознакомиться")</f>
        <v>Ознакомиться</v>
      </c>
      <c r="W656" s="8" t="s">
        <v>119</v>
      </c>
      <c r="X656" s="6"/>
      <c r="Y656" s="6"/>
      <c r="Z656" s="6"/>
      <c r="AA656" s="6" t="s">
        <v>633</v>
      </c>
    </row>
    <row r="657" spans="1:27" s="4" customFormat="1" ht="42" customHeight="1">
      <c r="A657" s="5">
        <v>0</v>
      </c>
      <c r="B657" s="6" t="s">
        <v>3905</v>
      </c>
      <c r="C657" s="7">
        <v>1190</v>
      </c>
      <c r="D657" s="8" t="s">
        <v>3906</v>
      </c>
      <c r="E657" s="8" t="s">
        <v>3907</v>
      </c>
      <c r="F657" s="8" t="s">
        <v>3908</v>
      </c>
      <c r="G657" s="6" t="s">
        <v>37</v>
      </c>
      <c r="H657" s="6" t="s">
        <v>54</v>
      </c>
      <c r="I657" s="8" t="s">
        <v>192</v>
      </c>
      <c r="J657" s="9">
        <v>1</v>
      </c>
      <c r="K657" s="9">
        <v>252</v>
      </c>
      <c r="L657" s="9">
        <v>2024</v>
      </c>
      <c r="M657" s="8" t="s">
        <v>3909</v>
      </c>
      <c r="N657" s="8" t="s">
        <v>41</v>
      </c>
      <c r="O657" s="8" t="s">
        <v>96</v>
      </c>
      <c r="P657" s="6" t="s">
        <v>66</v>
      </c>
      <c r="Q657" s="8" t="s">
        <v>141</v>
      </c>
      <c r="R657" s="10" t="s">
        <v>558</v>
      </c>
      <c r="S657" s="11"/>
      <c r="T657" s="6"/>
      <c r="U657" s="28" t="str">
        <f>HYPERLINK("https://media.infra-m.ru/2130/2130119/cover/2130119.jpg", "Обложка")</f>
        <v>Обложка</v>
      </c>
      <c r="V657" s="12"/>
      <c r="W657" s="8" t="s">
        <v>2131</v>
      </c>
      <c r="X657" s="6" t="s">
        <v>47</v>
      </c>
      <c r="Y657" s="6"/>
      <c r="Z657" s="6"/>
      <c r="AA657" s="6" t="s">
        <v>48</v>
      </c>
    </row>
    <row r="658" spans="1:27" s="4" customFormat="1" ht="42" customHeight="1">
      <c r="A658" s="5">
        <v>0</v>
      </c>
      <c r="B658" s="6" t="s">
        <v>3910</v>
      </c>
      <c r="C658" s="13">
        <v>950</v>
      </c>
      <c r="D658" s="8" t="s">
        <v>3911</v>
      </c>
      <c r="E658" s="8" t="s">
        <v>3912</v>
      </c>
      <c r="F658" s="8" t="s">
        <v>3908</v>
      </c>
      <c r="G658" s="6" t="s">
        <v>53</v>
      </c>
      <c r="H658" s="6" t="s">
        <v>54</v>
      </c>
      <c r="I658" s="8" t="s">
        <v>334</v>
      </c>
      <c r="J658" s="9">
        <v>1</v>
      </c>
      <c r="K658" s="9">
        <v>202</v>
      </c>
      <c r="L658" s="9">
        <v>2024</v>
      </c>
      <c r="M658" s="8" t="s">
        <v>3913</v>
      </c>
      <c r="N658" s="8" t="s">
        <v>41</v>
      </c>
      <c r="O658" s="8" t="s">
        <v>42</v>
      </c>
      <c r="P658" s="6" t="s">
        <v>78</v>
      </c>
      <c r="Q658" s="8" t="s">
        <v>201</v>
      </c>
      <c r="R658" s="10" t="s">
        <v>3914</v>
      </c>
      <c r="S658" s="11"/>
      <c r="T658" s="6"/>
      <c r="U658" s="28" t="str">
        <f>HYPERLINK("https://media.infra-m.ru/2125/2125002/cover/2125002.jpg", "Обложка")</f>
        <v>Обложка</v>
      </c>
      <c r="V658" s="28" t="str">
        <f>HYPERLINK("https://znanium.ru/catalog/product/2125002", "Ознакомиться")</f>
        <v>Ознакомиться</v>
      </c>
      <c r="W658" s="8" t="s">
        <v>2131</v>
      </c>
      <c r="X658" s="6"/>
      <c r="Y658" s="6"/>
      <c r="Z658" s="6"/>
      <c r="AA658" s="6" t="s">
        <v>213</v>
      </c>
    </row>
    <row r="659" spans="1:27" s="4" customFormat="1" ht="51.95" customHeight="1">
      <c r="A659" s="5">
        <v>0</v>
      </c>
      <c r="B659" s="6" t="s">
        <v>3915</v>
      </c>
      <c r="C659" s="7">
        <v>1744.9</v>
      </c>
      <c r="D659" s="8" t="s">
        <v>3916</v>
      </c>
      <c r="E659" s="8" t="s">
        <v>3917</v>
      </c>
      <c r="F659" s="8" t="s">
        <v>2251</v>
      </c>
      <c r="G659" s="6" t="s">
        <v>75</v>
      </c>
      <c r="H659" s="6" t="s">
        <v>38</v>
      </c>
      <c r="I659" s="8" t="s">
        <v>94</v>
      </c>
      <c r="J659" s="9">
        <v>1</v>
      </c>
      <c r="K659" s="9">
        <v>386</v>
      </c>
      <c r="L659" s="9">
        <v>2021</v>
      </c>
      <c r="M659" s="8" t="s">
        <v>3918</v>
      </c>
      <c r="N659" s="8" t="s">
        <v>41</v>
      </c>
      <c r="O659" s="8" t="s">
        <v>96</v>
      </c>
      <c r="P659" s="6" t="s">
        <v>78</v>
      </c>
      <c r="Q659" s="8" t="s">
        <v>97</v>
      </c>
      <c r="R659" s="10" t="s">
        <v>3919</v>
      </c>
      <c r="S659" s="11" t="s">
        <v>421</v>
      </c>
      <c r="T659" s="6"/>
      <c r="U659" s="28" t="str">
        <f>HYPERLINK("https://media.infra-m.ru/1971/1971819/cover/1971819.jpg", "Обложка")</f>
        <v>Обложка</v>
      </c>
      <c r="V659" s="28" t="str">
        <f>HYPERLINK("https://znanium.ru/catalog/product/1932275", "Ознакомиться")</f>
        <v>Ознакомиться</v>
      </c>
      <c r="W659" s="8" t="s">
        <v>1310</v>
      </c>
      <c r="X659" s="6"/>
      <c r="Y659" s="6"/>
      <c r="Z659" s="6"/>
      <c r="AA659" s="6" t="s">
        <v>134</v>
      </c>
    </row>
    <row r="660" spans="1:27" s="4" customFormat="1" ht="51.95" customHeight="1">
      <c r="A660" s="5">
        <v>0</v>
      </c>
      <c r="B660" s="6" t="s">
        <v>3920</v>
      </c>
      <c r="C660" s="7">
        <v>1294.9000000000001</v>
      </c>
      <c r="D660" s="8" t="s">
        <v>3921</v>
      </c>
      <c r="E660" s="8" t="s">
        <v>3912</v>
      </c>
      <c r="F660" s="8" t="s">
        <v>3922</v>
      </c>
      <c r="G660" s="6" t="s">
        <v>75</v>
      </c>
      <c r="H660" s="6" t="s">
        <v>38</v>
      </c>
      <c r="I660" s="8" t="s">
        <v>3923</v>
      </c>
      <c r="J660" s="9">
        <v>1</v>
      </c>
      <c r="K660" s="9">
        <v>382</v>
      </c>
      <c r="L660" s="9">
        <v>2020</v>
      </c>
      <c r="M660" s="8" t="s">
        <v>3924</v>
      </c>
      <c r="N660" s="8" t="s">
        <v>41</v>
      </c>
      <c r="O660" s="8" t="s">
        <v>42</v>
      </c>
      <c r="P660" s="6" t="s">
        <v>66</v>
      </c>
      <c r="Q660" s="8" t="s">
        <v>97</v>
      </c>
      <c r="R660" s="10"/>
      <c r="S660" s="11" t="s">
        <v>3925</v>
      </c>
      <c r="T660" s="6"/>
      <c r="U660" s="28" t="str">
        <f>HYPERLINK("https://media.infra-m.ru/1044/1044529/cover/1044529.jpg", "Обложка")</f>
        <v>Обложка</v>
      </c>
      <c r="V660" s="12"/>
      <c r="W660" s="8" t="s">
        <v>1643</v>
      </c>
      <c r="X660" s="6"/>
      <c r="Y660" s="6"/>
      <c r="Z660" s="6"/>
      <c r="AA660" s="6" t="s">
        <v>82</v>
      </c>
    </row>
    <row r="661" spans="1:27" s="4" customFormat="1" ht="51.95" customHeight="1">
      <c r="A661" s="5">
        <v>0</v>
      </c>
      <c r="B661" s="6" t="s">
        <v>3926</v>
      </c>
      <c r="C661" s="13">
        <v>604.9</v>
      </c>
      <c r="D661" s="8" t="s">
        <v>3927</v>
      </c>
      <c r="E661" s="8" t="s">
        <v>3928</v>
      </c>
      <c r="F661" s="8" t="s">
        <v>3929</v>
      </c>
      <c r="G661" s="6" t="s">
        <v>53</v>
      </c>
      <c r="H661" s="6" t="s">
        <v>362</v>
      </c>
      <c r="I661" s="8" t="s">
        <v>94</v>
      </c>
      <c r="J661" s="9">
        <v>1</v>
      </c>
      <c r="K661" s="9">
        <v>199</v>
      </c>
      <c r="L661" s="9">
        <v>2019</v>
      </c>
      <c r="M661" s="8" t="s">
        <v>3930</v>
      </c>
      <c r="N661" s="8" t="s">
        <v>41</v>
      </c>
      <c r="O661" s="8" t="s">
        <v>42</v>
      </c>
      <c r="P661" s="6" t="s">
        <v>66</v>
      </c>
      <c r="Q661" s="8" t="s">
        <v>97</v>
      </c>
      <c r="R661" s="10" t="s">
        <v>3931</v>
      </c>
      <c r="S661" s="11" t="s">
        <v>3932</v>
      </c>
      <c r="T661" s="6"/>
      <c r="U661" s="28" t="str">
        <f>HYPERLINK("https://media.infra-m.ru/1002/1002037/cover/1002037.jpg", "Обложка")</f>
        <v>Обложка</v>
      </c>
      <c r="V661" s="28" t="str">
        <f>HYPERLINK("https://znanium.ru/catalog/product/1480608", "Ознакомиться")</f>
        <v>Ознакомиться</v>
      </c>
      <c r="W661" s="8" t="s">
        <v>1597</v>
      </c>
      <c r="X661" s="6"/>
      <c r="Y661" s="6"/>
      <c r="Z661" s="6"/>
      <c r="AA661" s="6" t="s">
        <v>321</v>
      </c>
    </row>
    <row r="662" spans="1:27" s="4" customFormat="1" ht="51.95" customHeight="1">
      <c r="A662" s="5">
        <v>0</v>
      </c>
      <c r="B662" s="6" t="s">
        <v>3933</v>
      </c>
      <c r="C662" s="7">
        <v>1570</v>
      </c>
      <c r="D662" s="8" t="s">
        <v>3934</v>
      </c>
      <c r="E662" s="8" t="s">
        <v>3935</v>
      </c>
      <c r="F662" s="8" t="s">
        <v>3936</v>
      </c>
      <c r="G662" s="6" t="s">
        <v>75</v>
      </c>
      <c r="H662" s="6" t="s">
        <v>333</v>
      </c>
      <c r="I662" s="8" t="s">
        <v>199</v>
      </c>
      <c r="J662" s="9">
        <v>1</v>
      </c>
      <c r="K662" s="9">
        <v>336</v>
      </c>
      <c r="L662" s="9">
        <v>2024</v>
      </c>
      <c r="M662" s="8" t="s">
        <v>3937</v>
      </c>
      <c r="N662" s="8" t="s">
        <v>41</v>
      </c>
      <c r="O662" s="8" t="s">
        <v>42</v>
      </c>
      <c r="P662" s="6" t="s">
        <v>78</v>
      </c>
      <c r="Q662" s="8" t="s">
        <v>201</v>
      </c>
      <c r="R662" s="10" t="s">
        <v>3486</v>
      </c>
      <c r="S662" s="11" t="s">
        <v>3938</v>
      </c>
      <c r="T662" s="6"/>
      <c r="U662" s="28" t="str">
        <f>HYPERLINK("https://media.infra-m.ru/2110/2110036/cover/2110036.jpg", "Обложка")</f>
        <v>Обложка</v>
      </c>
      <c r="V662" s="28" t="str">
        <f>HYPERLINK("https://znanium.ru/catalog/product/2110036", "Ознакомиться")</f>
        <v>Ознакомиться</v>
      </c>
      <c r="W662" s="8" t="s">
        <v>119</v>
      </c>
      <c r="X662" s="6"/>
      <c r="Y662" s="6"/>
      <c r="Z662" s="6"/>
      <c r="AA662" s="6" t="s">
        <v>3939</v>
      </c>
    </row>
    <row r="663" spans="1:27" s="4" customFormat="1" ht="33" customHeight="1">
      <c r="A663" s="5">
        <v>0</v>
      </c>
      <c r="B663" s="6" t="s">
        <v>3940</v>
      </c>
      <c r="C663" s="13">
        <v>134.9</v>
      </c>
      <c r="D663" s="8" t="s">
        <v>3941</v>
      </c>
      <c r="E663" s="8" t="s">
        <v>3942</v>
      </c>
      <c r="F663" s="8"/>
      <c r="G663" s="6" t="s">
        <v>53</v>
      </c>
      <c r="H663" s="6" t="s">
        <v>54</v>
      </c>
      <c r="I663" s="8" t="s">
        <v>308</v>
      </c>
      <c r="J663" s="9">
        <v>1</v>
      </c>
      <c r="K663" s="9">
        <v>128</v>
      </c>
      <c r="L663" s="9">
        <v>2017</v>
      </c>
      <c r="M663" s="8" t="s">
        <v>3943</v>
      </c>
      <c r="N663" s="8" t="s">
        <v>41</v>
      </c>
      <c r="O663" s="8" t="s">
        <v>42</v>
      </c>
      <c r="P663" s="6" t="s">
        <v>310</v>
      </c>
      <c r="Q663" s="8" t="s">
        <v>97</v>
      </c>
      <c r="R663" s="10" t="s">
        <v>149</v>
      </c>
      <c r="S663" s="11"/>
      <c r="T663" s="6"/>
      <c r="U663" s="12"/>
      <c r="V663" s="12"/>
      <c r="W663" s="8"/>
      <c r="X663" s="6"/>
      <c r="Y663" s="6"/>
      <c r="Z663" s="6"/>
      <c r="AA663" s="6" t="s">
        <v>312</v>
      </c>
    </row>
    <row r="664" spans="1:27" s="4" customFormat="1" ht="51.95" customHeight="1">
      <c r="A664" s="5">
        <v>0</v>
      </c>
      <c r="B664" s="6" t="s">
        <v>3944</v>
      </c>
      <c r="C664" s="7">
        <v>1944</v>
      </c>
      <c r="D664" s="8" t="s">
        <v>3945</v>
      </c>
      <c r="E664" s="8" t="s">
        <v>3942</v>
      </c>
      <c r="F664" s="8" t="s">
        <v>2828</v>
      </c>
      <c r="G664" s="6" t="s">
        <v>75</v>
      </c>
      <c r="H664" s="6" t="s">
        <v>362</v>
      </c>
      <c r="I664" s="8" t="s">
        <v>334</v>
      </c>
      <c r="J664" s="9">
        <v>1</v>
      </c>
      <c r="K664" s="9">
        <v>414</v>
      </c>
      <c r="L664" s="9">
        <v>2024</v>
      </c>
      <c r="M664" s="8" t="s">
        <v>3946</v>
      </c>
      <c r="N664" s="8" t="s">
        <v>41</v>
      </c>
      <c r="O664" s="8" t="s">
        <v>42</v>
      </c>
      <c r="P664" s="6" t="s">
        <v>78</v>
      </c>
      <c r="Q664" s="8" t="s">
        <v>201</v>
      </c>
      <c r="R664" s="10" t="s">
        <v>3486</v>
      </c>
      <c r="S664" s="11" t="s">
        <v>3947</v>
      </c>
      <c r="T664" s="6"/>
      <c r="U664" s="28" t="str">
        <f>HYPERLINK("https://media.infra-m.ru/2137/2137026/cover/2137026.jpg", "Обложка")</f>
        <v>Обложка</v>
      </c>
      <c r="V664" s="28" t="str">
        <f>HYPERLINK("https://znanium.ru/catalog/product/1215825", "Ознакомиться")</f>
        <v>Ознакомиться</v>
      </c>
      <c r="W664" s="8" t="s">
        <v>46</v>
      </c>
      <c r="X664" s="6"/>
      <c r="Y664" s="6"/>
      <c r="Z664" s="6"/>
      <c r="AA664" s="6" t="s">
        <v>3865</v>
      </c>
    </row>
    <row r="665" spans="1:27" s="4" customFormat="1" ht="51.95" customHeight="1">
      <c r="A665" s="5">
        <v>0</v>
      </c>
      <c r="B665" s="6" t="s">
        <v>3948</v>
      </c>
      <c r="C665" s="7">
        <v>2750</v>
      </c>
      <c r="D665" s="8" t="s">
        <v>3949</v>
      </c>
      <c r="E665" s="8" t="s">
        <v>3950</v>
      </c>
      <c r="F665" s="8" t="s">
        <v>3951</v>
      </c>
      <c r="G665" s="6" t="s">
        <v>75</v>
      </c>
      <c r="H665" s="6" t="s">
        <v>38</v>
      </c>
      <c r="I665" s="8" t="s">
        <v>192</v>
      </c>
      <c r="J665" s="9">
        <v>1</v>
      </c>
      <c r="K665" s="9">
        <v>609</v>
      </c>
      <c r="L665" s="9">
        <v>2023</v>
      </c>
      <c r="M665" s="8" t="s">
        <v>3952</v>
      </c>
      <c r="N665" s="8" t="s">
        <v>41</v>
      </c>
      <c r="O665" s="8" t="s">
        <v>42</v>
      </c>
      <c r="P665" s="6" t="s">
        <v>78</v>
      </c>
      <c r="Q665" s="8" t="s">
        <v>97</v>
      </c>
      <c r="R665" s="10" t="s">
        <v>3953</v>
      </c>
      <c r="S665" s="11" t="s">
        <v>3954</v>
      </c>
      <c r="T665" s="6" t="s">
        <v>151</v>
      </c>
      <c r="U665" s="28" t="str">
        <f>HYPERLINK("https://media.infra-m.ru/2006/2006082/cover/2006082.jpg", "Обложка")</f>
        <v>Обложка</v>
      </c>
      <c r="V665" s="28" t="str">
        <f>HYPERLINK("https://znanium.ru/catalog/product/2006082", "Ознакомиться")</f>
        <v>Ознакомиться</v>
      </c>
      <c r="W665" s="8" t="s">
        <v>3955</v>
      </c>
      <c r="X665" s="6"/>
      <c r="Y665" s="6"/>
      <c r="Z665" s="6"/>
      <c r="AA665" s="6" t="s">
        <v>1323</v>
      </c>
    </row>
    <row r="666" spans="1:27" s="4" customFormat="1" ht="51.95" customHeight="1">
      <c r="A666" s="5">
        <v>0</v>
      </c>
      <c r="B666" s="6" t="s">
        <v>3956</v>
      </c>
      <c r="C666" s="7">
        <v>2374.9</v>
      </c>
      <c r="D666" s="8" t="s">
        <v>3957</v>
      </c>
      <c r="E666" s="8" t="s">
        <v>3958</v>
      </c>
      <c r="F666" s="8" t="s">
        <v>1408</v>
      </c>
      <c r="G666" s="6" t="s">
        <v>37</v>
      </c>
      <c r="H666" s="6" t="s">
        <v>352</v>
      </c>
      <c r="I666" s="8"/>
      <c r="J666" s="9">
        <v>1</v>
      </c>
      <c r="K666" s="9">
        <v>528</v>
      </c>
      <c r="L666" s="9">
        <v>2023</v>
      </c>
      <c r="M666" s="8" t="s">
        <v>3959</v>
      </c>
      <c r="N666" s="8" t="s">
        <v>41</v>
      </c>
      <c r="O666" s="8" t="s">
        <v>42</v>
      </c>
      <c r="P666" s="6" t="s">
        <v>66</v>
      </c>
      <c r="Q666" s="8" t="s">
        <v>97</v>
      </c>
      <c r="R666" s="10" t="s">
        <v>3960</v>
      </c>
      <c r="S666" s="11" t="s">
        <v>1411</v>
      </c>
      <c r="T666" s="6"/>
      <c r="U666" s="28" t="str">
        <f>HYPERLINK("https://media.infra-m.ru/1893/1893637/cover/1893637.jpg", "Обложка")</f>
        <v>Обложка</v>
      </c>
      <c r="V666" s="28" t="str">
        <f>HYPERLINK("https://znanium.ru/catalog/product/1893637", "Ознакомиться")</f>
        <v>Ознакомиться</v>
      </c>
      <c r="W666" s="8" t="s">
        <v>119</v>
      </c>
      <c r="X666" s="6"/>
      <c r="Y666" s="6"/>
      <c r="Z666" s="6"/>
      <c r="AA666" s="6" t="s">
        <v>2396</v>
      </c>
    </row>
    <row r="667" spans="1:27" s="4" customFormat="1" ht="42" customHeight="1">
      <c r="A667" s="5">
        <v>0</v>
      </c>
      <c r="B667" s="6" t="s">
        <v>3961</v>
      </c>
      <c r="C667" s="7">
        <v>1270</v>
      </c>
      <c r="D667" s="8" t="s">
        <v>3962</v>
      </c>
      <c r="E667" s="8" t="s">
        <v>3958</v>
      </c>
      <c r="F667" s="8" t="s">
        <v>2448</v>
      </c>
      <c r="G667" s="6" t="s">
        <v>37</v>
      </c>
      <c r="H667" s="6" t="s">
        <v>38</v>
      </c>
      <c r="I667" s="8" t="s">
        <v>199</v>
      </c>
      <c r="J667" s="9">
        <v>1</v>
      </c>
      <c r="K667" s="9">
        <v>261</v>
      </c>
      <c r="L667" s="9">
        <v>2023</v>
      </c>
      <c r="M667" s="8" t="s">
        <v>3963</v>
      </c>
      <c r="N667" s="8" t="s">
        <v>41</v>
      </c>
      <c r="O667" s="8" t="s">
        <v>42</v>
      </c>
      <c r="P667" s="6" t="s">
        <v>66</v>
      </c>
      <c r="Q667" s="8" t="s">
        <v>201</v>
      </c>
      <c r="R667" s="10" t="s">
        <v>3601</v>
      </c>
      <c r="S667" s="11"/>
      <c r="T667" s="6"/>
      <c r="U667" s="28" t="str">
        <f>HYPERLINK("https://media.infra-m.ru/1550/1550594/cover/1550594.jpg", "Обложка")</f>
        <v>Обложка</v>
      </c>
      <c r="V667" s="28" t="str">
        <f>HYPERLINK("https://znanium.ru/catalog/product/1550594", "Ознакомиться")</f>
        <v>Ознакомиться</v>
      </c>
      <c r="W667" s="8" t="s">
        <v>2451</v>
      </c>
      <c r="X667" s="6" t="s">
        <v>346</v>
      </c>
      <c r="Y667" s="6"/>
      <c r="Z667" s="6"/>
      <c r="AA667" s="6" t="s">
        <v>120</v>
      </c>
    </row>
    <row r="668" spans="1:27" s="4" customFormat="1" ht="51.95" customHeight="1">
      <c r="A668" s="5">
        <v>0</v>
      </c>
      <c r="B668" s="6" t="s">
        <v>3964</v>
      </c>
      <c r="C668" s="7">
        <v>2290</v>
      </c>
      <c r="D668" s="8" t="s">
        <v>3965</v>
      </c>
      <c r="E668" s="8" t="s">
        <v>3966</v>
      </c>
      <c r="F668" s="8" t="s">
        <v>1307</v>
      </c>
      <c r="G668" s="6" t="s">
        <v>37</v>
      </c>
      <c r="H668" s="6" t="s">
        <v>38</v>
      </c>
      <c r="I668" s="8" t="s">
        <v>94</v>
      </c>
      <c r="J668" s="9">
        <v>1</v>
      </c>
      <c r="K668" s="9">
        <v>528</v>
      </c>
      <c r="L668" s="9">
        <v>2023</v>
      </c>
      <c r="M668" s="8" t="s">
        <v>3967</v>
      </c>
      <c r="N668" s="8" t="s">
        <v>41</v>
      </c>
      <c r="O668" s="8" t="s">
        <v>42</v>
      </c>
      <c r="P668" s="6" t="s">
        <v>78</v>
      </c>
      <c r="Q668" s="8" t="s">
        <v>97</v>
      </c>
      <c r="R668" s="10" t="s">
        <v>3968</v>
      </c>
      <c r="S668" s="11" t="s">
        <v>2186</v>
      </c>
      <c r="T668" s="6"/>
      <c r="U668" s="28" t="str">
        <f>HYPERLINK("https://media.infra-m.ru/1456/1456979/cover/1456979.jpg", "Обложка")</f>
        <v>Обложка</v>
      </c>
      <c r="V668" s="28" t="str">
        <f>HYPERLINK("https://znanium.ru/catalog/product/1456979", "Ознакомиться")</f>
        <v>Ознакомиться</v>
      </c>
      <c r="W668" s="8" t="s">
        <v>3969</v>
      </c>
      <c r="X668" s="6"/>
      <c r="Y668" s="6"/>
      <c r="Z668" s="6"/>
      <c r="AA668" s="6" t="s">
        <v>688</v>
      </c>
    </row>
    <row r="669" spans="1:27" s="4" customFormat="1" ht="44.1" customHeight="1">
      <c r="A669" s="5">
        <v>0</v>
      </c>
      <c r="B669" s="6" t="s">
        <v>3970</v>
      </c>
      <c r="C669" s="13">
        <v>820</v>
      </c>
      <c r="D669" s="8" t="s">
        <v>3971</v>
      </c>
      <c r="E669" s="8" t="s">
        <v>3966</v>
      </c>
      <c r="F669" s="8" t="s">
        <v>3972</v>
      </c>
      <c r="G669" s="6" t="s">
        <v>75</v>
      </c>
      <c r="H669" s="6" t="s">
        <v>132</v>
      </c>
      <c r="I669" s="8"/>
      <c r="J669" s="9">
        <v>1</v>
      </c>
      <c r="K669" s="9">
        <v>178</v>
      </c>
      <c r="L669" s="9">
        <v>2023</v>
      </c>
      <c r="M669" s="8" t="s">
        <v>3973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3974</v>
      </c>
      <c r="S669" s="11"/>
      <c r="T669" s="6"/>
      <c r="U669" s="28" t="str">
        <f>HYPERLINK("https://media.infra-m.ru/2124/2124355/cover/2124355.jpg", "Обложка")</f>
        <v>Обложка</v>
      </c>
      <c r="V669" s="28" t="str">
        <f>HYPERLINK("https://znanium.ru/catalog/product/2124355", "Ознакомиться")</f>
        <v>Ознакомиться</v>
      </c>
      <c r="W669" s="8" t="s">
        <v>328</v>
      </c>
      <c r="X669" s="6"/>
      <c r="Y669" s="6"/>
      <c r="Z669" s="6"/>
      <c r="AA669" s="6" t="s">
        <v>89</v>
      </c>
    </row>
    <row r="670" spans="1:27" s="4" customFormat="1" ht="51.95" customHeight="1">
      <c r="A670" s="5">
        <v>0</v>
      </c>
      <c r="B670" s="6" t="s">
        <v>3975</v>
      </c>
      <c r="C670" s="7">
        <v>1550</v>
      </c>
      <c r="D670" s="8" t="s">
        <v>3976</v>
      </c>
      <c r="E670" s="8" t="s">
        <v>3977</v>
      </c>
      <c r="F670" s="8" t="s">
        <v>3978</v>
      </c>
      <c r="G670" s="6" t="s">
        <v>75</v>
      </c>
      <c r="H670" s="6" t="s">
        <v>352</v>
      </c>
      <c r="I670" s="8" t="s">
        <v>394</v>
      </c>
      <c r="J670" s="9">
        <v>1</v>
      </c>
      <c r="K670" s="9">
        <v>336</v>
      </c>
      <c r="L670" s="9">
        <v>2024</v>
      </c>
      <c r="M670" s="8" t="s">
        <v>3979</v>
      </c>
      <c r="N670" s="8" t="s">
        <v>41</v>
      </c>
      <c r="O670" s="8" t="s">
        <v>42</v>
      </c>
      <c r="P670" s="6" t="s">
        <v>78</v>
      </c>
      <c r="Q670" s="8" t="s">
        <v>97</v>
      </c>
      <c r="R670" s="10" t="s">
        <v>3980</v>
      </c>
      <c r="S670" s="11" t="s">
        <v>3981</v>
      </c>
      <c r="T670" s="6"/>
      <c r="U670" s="28" t="str">
        <f>HYPERLINK("https://media.infra-m.ru/2079/2079506/cover/2079506.jpg", "Обложка")</f>
        <v>Обложка</v>
      </c>
      <c r="V670" s="28" t="str">
        <f>HYPERLINK("https://znanium.ru/catalog/product/2079506", "Ознакомиться")</f>
        <v>Ознакомиться</v>
      </c>
      <c r="W670" s="8" t="s">
        <v>46</v>
      </c>
      <c r="X670" s="6"/>
      <c r="Y670" s="6"/>
      <c r="Z670" s="6"/>
      <c r="AA670" s="6" t="s">
        <v>3558</v>
      </c>
    </row>
    <row r="671" spans="1:27" s="4" customFormat="1" ht="51.95" customHeight="1">
      <c r="A671" s="5">
        <v>0</v>
      </c>
      <c r="B671" s="6" t="s">
        <v>3982</v>
      </c>
      <c r="C671" s="7">
        <v>1924</v>
      </c>
      <c r="D671" s="8" t="s">
        <v>3983</v>
      </c>
      <c r="E671" s="8" t="s">
        <v>3966</v>
      </c>
      <c r="F671" s="8" t="s">
        <v>1408</v>
      </c>
      <c r="G671" s="6" t="s">
        <v>37</v>
      </c>
      <c r="H671" s="6" t="s">
        <v>352</v>
      </c>
      <c r="I671" s="8"/>
      <c r="J671" s="9">
        <v>1</v>
      </c>
      <c r="K671" s="9">
        <v>576</v>
      </c>
      <c r="L671" s="9">
        <v>2024</v>
      </c>
      <c r="M671" s="8" t="s">
        <v>3984</v>
      </c>
      <c r="N671" s="8" t="s">
        <v>41</v>
      </c>
      <c r="O671" s="8" t="s">
        <v>42</v>
      </c>
      <c r="P671" s="6" t="s">
        <v>66</v>
      </c>
      <c r="Q671" s="8" t="s">
        <v>97</v>
      </c>
      <c r="R671" s="10" t="s">
        <v>378</v>
      </c>
      <c r="S671" s="11" t="s">
        <v>3985</v>
      </c>
      <c r="T671" s="6"/>
      <c r="U671" s="28" t="str">
        <f>HYPERLINK("https://media.infra-m.ru/2079/2079630/cover/2079630.jpg", "Обложка")</f>
        <v>Обложка</v>
      </c>
      <c r="V671" s="28" t="str">
        <f>HYPERLINK("https://znanium.ru/catalog/product/224601", "Ознакомиться")</f>
        <v>Ознакомиться</v>
      </c>
      <c r="W671" s="8" t="s">
        <v>119</v>
      </c>
      <c r="X671" s="6"/>
      <c r="Y671" s="6"/>
      <c r="Z671" s="6"/>
      <c r="AA671" s="6" t="s">
        <v>613</v>
      </c>
    </row>
    <row r="672" spans="1:27" s="4" customFormat="1" ht="51.95" customHeight="1">
      <c r="A672" s="5">
        <v>0</v>
      </c>
      <c r="B672" s="6" t="s">
        <v>3986</v>
      </c>
      <c r="C672" s="7">
        <v>1994</v>
      </c>
      <c r="D672" s="8" t="s">
        <v>3987</v>
      </c>
      <c r="E672" s="8" t="s">
        <v>3988</v>
      </c>
      <c r="F672" s="8" t="s">
        <v>3989</v>
      </c>
      <c r="G672" s="6" t="s">
        <v>75</v>
      </c>
      <c r="H672" s="6" t="s">
        <v>352</v>
      </c>
      <c r="I672" s="8" t="s">
        <v>394</v>
      </c>
      <c r="J672" s="9">
        <v>1</v>
      </c>
      <c r="K672" s="9">
        <v>448</v>
      </c>
      <c r="L672" s="9">
        <v>2023</v>
      </c>
      <c r="M672" s="8" t="s">
        <v>3990</v>
      </c>
      <c r="N672" s="8" t="s">
        <v>41</v>
      </c>
      <c r="O672" s="8" t="s">
        <v>42</v>
      </c>
      <c r="P672" s="6" t="s">
        <v>66</v>
      </c>
      <c r="Q672" s="8" t="s">
        <v>97</v>
      </c>
      <c r="R672" s="10" t="s">
        <v>2892</v>
      </c>
      <c r="S672" s="11" t="s">
        <v>3991</v>
      </c>
      <c r="T672" s="6"/>
      <c r="U672" s="28" t="str">
        <f>HYPERLINK("https://media.infra-m.ru/1976/1976179/cover/1976179.jpg", "Обложка")</f>
        <v>Обложка</v>
      </c>
      <c r="V672" s="28" t="str">
        <f>HYPERLINK("https://znanium.ru/catalog/product/1976179", "Ознакомиться")</f>
        <v>Ознакомиться</v>
      </c>
      <c r="W672" s="8" t="s">
        <v>46</v>
      </c>
      <c r="X672" s="6"/>
      <c r="Y672" s="6"/>
      <c r="Z672" s="6"/>
      <c r="AA672" s="6" t="s">
        <v>291</v>
      </c>
    </row>
    <row r="673" spans="1:27" s="4" customFormat="1" ht="42" customHeight="1">
      <c r="A673" s="5">
        <v>0</v>
      </c>
      <c r="B673" s="6" t="s">
        <v>3992</v>
      </c>
      <c r="C673" s="13">
        <v>190</v>
      </c>
      <c r="D673" s="8" t="s">
        <v>3993</v>
      </c>
      <c r="E673" s="8" t="s">
        <v>3994</v>
      </c>
      <c r="F673" s="8"/>
      <c r="G673" s="6" t="s">
        <v>53</v>
      </c>
      <c r="H673" s="6" t="s">
        <v>54</v>
      </c>
      <c r="I673" s="8" t="s">
        <v>3995</v>
      </c>
      <c r="J673" s="9">
        <v>1</v>
      </c>
      <c r="K673" s="9">
        <v>80</v>
      </c>
      <c r="L673" s="9">
        <v>2022</v>
      </c>
      <c r="M673" s="8" t="s">
        <v>3996</v>
      </c>
      <c r="N673" s="8" t="s">
        <v>41</v>
      </c>
      <c r="O673" s="8" t="s">
        <v>42</v>
      </c>
      <c r="P673" s="6" t="s">
        <v>310</v>
      </c>
      <c r="Q673" s="8" t="s">
        <v>97</v>
      </c>
      <c r="R673" s="10" t="s">
        <v>107</v>
      </c>
      <c r="S673" s="11"/>
      <c r="T673" s="6"/>
      <c r="U673" s="28" t="str">
        <f>HYPERLINK("https://media.infra-m.ru/1866/1866319/cover/1866319.jpg", "Обложка")</f>
        <v>Обложка</v>
      </c>
      <c r="V673" s="28" t="str">
        <f>HYPERLINK("https://znanium.ru/catalog/product/1866319", "Ознакомиться")</f>
        <v>Ознакомиться</v>
      </c>
      <c r="W673" s="8"/>
      <c r="X673" s="6"/>
      <c r="Y673" s="6"/>
      <c r="Z673" s="6"/>
      <c r="AA673" s="6" t="s">
        <v>134</v>
      </c>
    </row>
    <row r="674" spans="1:27" s="4" customFormat="1" ht="42" customHeight="1">
      <c r="A674" s="5">
        <v>0</v>
      </c>
      <c r="B674" s="6" t="s">
        <v>3997</v>
      </c>
      <c r="C674" s="13">
        <v>284.89999999999998</v>
      </c>
      <c r="D674" s="8" t="s">
        <v>3998</v>
      </c>
      <c r="E674" s="8" t="s">
        <v>3999</v>
      </c>
      <c r="F674" s="8" t="s">
        <v>501</v>
      </c>
      <c r="G674" s="6" t="s">
        <v>53</v>
      </c>
      <c r="H674" s="6" t="s">
        <v>38</v>
      </c>
      <c r="I674" s="8" t="s">
        <v>39</v>
      </c>
      <c r="J674" s="9">
        <v>1</v>
      </c>
      <c r="K674" s="9">
        <v>78</v>
      </c>
      <c r="L674" s="9">
        <v>2021</v>
      </c>
      <c r="M674" s="8" t="s">
        <v>4000</v>
      </c>
      <c r="N674" s="8" t="s">
        <v>41</v>
      </c>
      <c r="O674" s="8" t="s">
        <v>56</v>
      </c>
      <c r="P674" s="6" t="s">
        <v>43</v>
      </c>
      <c r="Q674" s="8" t="s">
        <v>44</v>
      </c>
      <c r="R674" s="10" t="s">
        <v>107</v>
      </c>
      <c r="S674" s="11"/>
      <c r="T674" s="6"/>
      <c r="U674" s="28" t="str">
        <f>HYPERLINK("https://media.infra-m.ru/1208/1208484/cover/1208484.jpg", "Обложка")</f>
        <v>Обложка</v>
      </c>
      <c r="V674" s="28" t="str">
        <f>HYPERLINK("https://znanium.ru/catalog/product/1208484", "Ознакомиться")</f>
        <v>Ознакомиться</v>
      </c>
      <c r="W674" s="8" t="s">
        <v>328</v>
      </c>
      <c r="X674" s="6"/>
      <c r="Y674" s="6"/>
      <c r="Z674" s="6"/>
      <c r="AA674" s="6" t="s">
        <v>258</v>
      </c>
    </row>
    <row r="675" spans="1:27" s="4" customFormat="1" ht="42" customHeight="1">
      <c r="A675" s="5">
        <v>0</v>
      </c>
      <c r="B675" s="6" t="s">
        <v>4001</v>
      </c>
      <c r="C675" s="13">
        <v>694</v>
      </c>
      <c r="D675" s="8" t="s">
        <v>4002</v>
      </c>
      <c r="E675" s="8" t="s">
        <v>4003</v>
      </c>
      <c r="F675" s="8" t="s">
        <v>4004</v>
      </c>
      <c r="G675" s="6" t="s">
        <v>53</v>
      </c>
      <c r="H675" s="6" t="s">
        <v>38</v>
      </c>
      <c r="I675" s="8" t="s">
        <v>39</v>
      </c>
      <c r="J675" s="9">
        <v>1</v>
      </c>
      <c r="K675" s="9">
        <v>152</v>
      </c>
      <c r="L675" s="9">
        <v>2024</v>
      </c>
      <c r="M675" s="8" t="s">
        <v>4005</v>
      </c>
      <c r="N675" s="8" t="s">
        <v>41</v>
      </c>
      <c r="O675" s="8" t="s">
        <v>56</v>
      </c>
      <c r="P675" s="6" t="s">
        <v>43</v>
      </c>
      <c r="Q675" s="8" t="s">
        <v>44</v>
      </c>
      <c r="R675" s="10" t="s">
        <v>107</v>
      </c>
      <c r="S675" s="11"/>
      <c r="T675" s="6"/>
      <c r="U675" s="28" t="str">
        <f>HYPERLINK("https://media.infra-m.ru/2117/2117134/cover/2117134.jpg", "Обложка")</f>
        <v>Обложка</v>
      </c>
      <c r="V675" s="28" t="str">
        <f>HYPERLINK("https://znanium.ru/catalog/product/1059308", "Ознакомиться")</f>
        <v>Ознакомиться</v>
      </c>
      <c r="W675" s="8" t="s">
        <v>328</v>
      </c>
      <c r="X675" s="6"/>
      <c r="Y675" s="6"/>
      <c r="Z675" s="6"/>
      <c r="AA675" s="6" t="s">
        <v>258</v>
      </c>
    </row>
    <row r="676" spans="1:27" s="4" customFormat="1" ht="51.95" customHeight="1">
      <c r="A676" s="5">
        <v>0</v>
      </c>
      <c r="B676" s="6" t="s">
        <v>4006</v>
      </c>
      <c r="C676" s="13">
        <v>500</v>
      </c>
      <c r="D676" s="8" t="s">
        <v>4007</v>
      </c>
      <c r="E676" s="8" t="s">
        <v>4008</v>
      </c>
      <c r="F676" s="8" t="s">
        <v>4009</v>
      </c>
      <c r="G676" s="6" t="s">
        <v>53</v>
      </c>
      <c r="H676" s="6" t="s">
        <v>132</v>
      </c>
      <c r="I676" s="8" t="s">
        <v>1191</v>
      </c>
      <c r="J676" s="9">
        <v>1</v>
      </c>
      <c r="K676" s="9">
        <v>160</v>
      </c>
      <c r="L676" s="9">
        <v>2018</v>
      </c>
      <c r="M676" s="8" t="s">
        <v>4010</v>
      </c>
      <c r="N676" s="8" t="s">
        <v>41</v>
      </c>
      <c r="O676" s="8" t="s">
        <v>42</v>
      </c>
      <c r="P676" s="6" t="s">
        <v>43</v>
      </c>
      <c r="Q676" s="8" t="s">
        <v>44</v>
      </c>
      <c r="R676" s="10" t="s">
        <v>4011</v>
      </c>
      <c r="S676" s="11"/>
      <c r="T676" s="6"/>
      <c r="U676" s="28" t="str">
        <f>HYPERLINK("https://media.infra-m.ru/0927/0927075/cover/927075.jpg", "Обложка")</f>
        <v>Обложка</v>
      </c>
      <c r="V676" s="28" t="str">
        <f>HYPERLINK("https://znanium.ru/catalog/product/927075", "Ознакомиться")</f>
        <v>Ознакомиться</v>
      </c>
      <c r="W676" s="8" t="s">
        <v>119</v>
      </c>
      <c r="X676" s="6"/>
      <c r="Y676" s="6"/>
      <c r="Z676" s="6"/>
      <c r="AA676" s="6" t="s">
        <v>213</v>
      </c>
    </row>
    <row r="677" spans="1:27" s="4" customFormat="1" ht="44.1" customHeight="1">
      <c r="A677" s="5">
        <v>0</v>
      </c>
      <c r="B677" s="6" t="s">
        <v>4012</v>
      </c>
      <c r="C677" s="7">
        <v>1020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38</v>
      </c>
      <c r="I677" s="8" t="s">
        <v>39</v>
      </c>
      <c r="J677" s="9">
        <v>1</v>
      </c>
      <c r="K677" s="9">
        <v>215</v>
      </c>
      <c r="L677" s="9">
        <v>2023</v>
      </c>
      <c r="M677" s="8" t="s">
        <v>4016</v>
      </c>
      <c r="N677" s="8" t="s">
        <v>41</v>
      </c>
      <c r="O677" s="8" t="s">
        <v>96</v>
      </c>
      <c r="P677" s="6" t="s">
        <v>43</v>
      </c>
      <c r="Q677" s="8" t="s">
        <v>44</v>
      </c>
      <c r="R677" s="10" t="s">
        <v>45</v>
      </c>
      <c r="S677" s="11"/>
      <c r="T677" s="6"/>
      <c r="U677" s="28" t="str">
        <f>HYPERLINK("https://media.infra-m.ru/1989/1989211/cover/1989211.jpg", "Обложка")</f>
        <v>Обложка</v>
      </c>
      <c r="V677" s="28" t="str">
        <f>HYPERLINK("https://znanium.ru/catalog/product/1989211", "Ознакомиться")</f>
        <v>Ознакомиться</v>
      </c>
      <c r="W677" s="8" t="s">
        <v>166</v>
      </c>
      <c r="X677" s="6" t="s">
        <v>3179</v>
      </c>
      <c r="Y677" s="6"/>
      <c r="Z677" s="6"/>
      <c r="AA677" s="6" t="s">
        <v>120</v>
      </c>
    </row>
    <row r="678" spans="1:27" s="4" customFormat="1" ht="51.95" customHeight="1">
      <c r="A678" s="5">
        <v>0</v>
      </c>
      <c r="B678" s="6" t="s">
        <v>4017</v>
      </c>
      <c r="C678" s="13">
        <v>940</v>
      </c>
      <c r="D678" s="8" t="s">
        <v>4018</v>
      </c>
      <c r="E678" s="8" t="s">
        <v>4019</v>
      </c>
      <c r="F678" s="8" t="s">
        <v>4020</v>
      </c>
      <c r="G678" s="6" t="s">
        <v>53</v>
      </c>
      <c r="H678" s="6" t="s">
        <v>54</v>
      </c>
      <c r="I678" s="8"/>
      <c r="J678" s="9">
        <v>1</v>
      </c>
      <c r="K678" s="9">
        <v>208</v>
      </c>
      <c r="L678" s="9">
        <v>2024</v>
      </c>
      <c r="M678" s="8" t="s">
        <v>4021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4022</v>
      </c>
      <c r="S678" s="11"/>
      <c r="T678" s="6"/>
      <c r="U678" s="28" t="str">
        <f>HYPERLINK("https://media.infra-m.ru/2109/2109600/cover/2109600.jpg", "Обложка")</f>
        <v>Обложка</v>
      </c>
      <c r="V678" s="28" t="str">
        <f>HYPERLINK("https://znanium.ru/catalog/product/2109600", "Ознакомиться")</f>
        <v>Ознакомиться</v>
      </c>
      <c r="W678" s="8" t="s">
        <v>4023</v>
      </c>
      <c r="X678" s="6"/>
      <c r="Y678" s="6"/>
      <c r="Z678" s="6"/>
      <c r="AA678" s="6" t="s">
        <v>213</v>
      </c>
    </row>
    <row r="679" spans="1:27" s="4" customFormat="1" ht="51.95" customHeight="1">
      <c r="A679" s="5">
        <v>0</v>
      </c>
      <c r="B679" s="6" t="s">
        <v>4024</v>
      </c>
      <c r="C679" s="13">
        <v>699.9</v>
      </c>
      <c r="D679" s="8" t="s">
        <v>4025</v>
      </c>
      <c r="E679" s="8" t="s">
        <v>4026</v>
      </c>
      <c r="F679" s="8" t="s">
        <v>4027</v>
      </c>
      <c r="G679" s="6" t="s">
        <v>53</v>
      </c>
      <c r="H679" s="6" t="s">
        <v>54</v>
      </c>
      <c r="I679" s="8"/>
      <c r="J679" s="9">
        <v>30</v>
      </c>
      <c r="K679" s="9">
        <v>225</v>
      </c>
      <c r="L679" s="9">
        <v>2017</v>
      </c>
      <c r="M679" s="8" t="s">
        <v>4028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4029</v>
      </c>
      <c r="S679" s="11"/>
      <c r="T679" s="6"/>
      <c r="U679" s="28" t="str">
        <f>HYPERLINK("https://media.infra-m.ru/0671/0671363/cover/671363.jpg", "Обложка")</f>
        <v>Обложка</v>
      </c>
      <c r="V679" s="28" t="str">
        <f>HYPERLINK("https://znanium.ru/catalog/product/671363", "Ознакомиться")</f>
        <v>Ознакомиться</v>
      </c>
      <c r="W679" s="8" t="s">
        <v>119</v>
      </c>
      <c r="X679" s="6"/>
      <c r="Y679" s="6"/>
      <c r="Z679" s="6"/>
      <c r="AA679" s="6" t="s">
        <v>213</v>
      </c>
    </row>
    <row r="680" spans="1:27" s="4" customFormat="1" ht="51.95" customHeight="1">
      <c r="A680" s="5">
        <v>0</v>
      </c>
      <c r="B680" s="6" t="s">
        <v>4030</v>
      </c>
      <c r="C680" s="7">
        <v>1020</v>
      </c>
      <c r="D680" s="8" t="s">
        <v>4031</v>
      </c>
      <c r="E680" s="8" t="s">
        <v>4032</v>
      </c>
      <c r="F680" s="8" t="s">
        <v>4033</v>
      </c>
      <c r="G680" s="6" t="s">
        <v>53</v>
      </c>
      <c r="H680" s="6" t="s">
        <v>38</v>
      </c>
      <c r="I680" s="8" t="s">
        <v>39</v>
      </c>
      <c r="J680" s="9">
        <v>1</v>
      </c>
      <c r="K680" s="9">
        <v>261</v>
      </c>
      <c r="L680" s="9">
        <v>2022</v>
      </c>
      <c r="M680" s="8" t="s">
        <v>4034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1360</v>
      </c>
      <c r="S680" s="11"/>
      <c r="T680" s="6"/>
      <c r="U680" s="28" t="str">
        <f>HYPERLINK("https://media.infra-m.ru/1246/1246521/cover/1246521.jpg", "Обложка")</f>
        <v>Обложка</v>
      </c>
      <c r="V680" s="28" t="str">
        <f>HYPERLINK("https://znanium.ru/catalog/product/1246521", "Ознакомиться")</f>
        <v>Ознакомиться</v>
      </c>
      <c r="W680" s="8" t="s">
        <v>2225</v>
      </c>
      <c r="X680" s="6"/>
      <c r="Y680" s="6"/>
      <c r="Z680" s="6"/>
      <c r="AA680" s="6" t="s">
        <v>70</v>
      </c>
    </row>
    <row r="681" spans="1:27" s="4" customFormat="1" ht="51.95" customHeight="1">
      <c r="A681" s="5">
        <v>0</v>
      </c>
      <c r="B681" s="6" t="s">
        <v>4035</v>
      </c>
      <c r="C681" s="13">
        <v>900</v>
      </c>
      <c r="D681" s="8" t="s">
        <v>4036</v>
      </c>
      <c r="E681" s="8" t="s">
        <v>4037</v>
      </c>
      <c r="F681" s="8" t="s">
        <v>4038</v>
      </c>
      <c r="G681" s="6" t="s">
        <v>75</v>
      </c>
      <c r="H681" s="6" t="s">
        <v>362</v>
      </c>
      <c r="I681" s="8" t="s">
        <v>199</v>
      </c>
      <c r="J681" s="9">
        <v>1</v>
      </c>
      <c r="K681" s="9">
        <v>200</v>
      </c>
      <c r="L681" s="9">
        <v>2023</v>
      </c>
      <c r="M681" s="8" t="s">
        <v>4039</v>
      </c>
      <c r="N681" s="8" t="s">
        <v>41</v>
      </c>
      <c r="O681" s="8" t="s">
        <v>42</v>
      </c>
      <c r="P681" s="6" t="s">
        <v>78</v>
      </c>
      <c r="Q681" s="8" t="s">
        <v>201</v>
      </c>
      <c r="R681" s="10" t="s">
        <v>4040</v>
      </c>
      <c r="S681" s="11" t="s">
        <v>4041</v>
      </c>
      <c r="T681" s="6"/>
      <c r="U681" s="28" t="str">
        <f>HYPERLINK("https://media.infra-m.ru/1931/1931475/cover/1931475.jpg", "Обложка")</f>
        <v>Обложка</v>
      </c>
      <c r="V681" s="28" t="str">
        <f>HYPERLINK("https://znanium.ru/catalog/product/1931475", "Ознакомиться")</f>
        <v>Ознакомиться</v>
      </c>
      <c r="W681" s="8" t="s">
        <v>4042</v>
      </c>
      <c r="X681" s="6"/>
      <c r="Y681" s="6"/>
      <c r="Z681" s="6"/>
      <c r="AA681" s="6" t="s">
        <v>213</v>
      </c>
    </row>
    <row r="682" spans="1:27" s="4" customFormat="1" ht="44.1" customHeight="1">
      <c r="A682" s="5">
        <v>0</v>
      </c>
      <c r="B682" s="6" t="s">
        <v>4043</v>
      </c>
      <c r="C682" s="7">
        <v>1434.9</v>
      </c>
      <c r="D682" s="8" t="s">
        <v>4044</v>
      </c>
      <c r="E682" s="8" t="s">
        <v>4045</v>
      </c>
      <c r="F682" s="8" t="s">
        <v>4046</v>
      </c>
      <c r="G682" s="6" t="s">
        <v>37</v>
      </c>
      <c r="H682" s="6" t="s">
        <v>38</v>
      </c>
      <c r="I682" s="8" t="s">
        <v>76</v>
      </c>
      <c r="J682" s="9">
        <v>1</v>
      </c>
      <c r="K682" s="9">
        <v>377</v>
      </c>
      <c r="L682" s="9">
        <v>2022</v>
      </c>
      <c r="M682" s="8" t="s">
        <v>4047</v>
      </c>
      <c r="N682" s="8" t="s">
        <v>41</v>
      </c>
      <c r="O682" s="8" t="s">
        <v>42</v>
      </c>
      <c r="P682" s="6" t="s">
        <v>78</v>
      </c>
      <c r="Q682" s="8" t="s">
        <v>67</v>
      </c>
      <c r="R682" s="10" t="s">
        <v>1097</v>
      </c>
      <c r="S682" s="11"/>
      <c r="T682" s="6"/>
      <c r="U682" s="28" t="str">
        <f>HYPERLINK("https://media.infra-m.ru/1844/1844272/cover/1844272.jpg", "Обложка")</f>
        <v>Обложка</v>
      </c>
      <c r="V682" s="28" t="str">
        <f>HYPERLINK("https://znanium.ru/catalog/product/1844272", "Ознакомиться")</f>
        <v>Ознакомиться</v>
      </c>
      <c r="W682" s="8" t="s">
        <v>1354</v>
      </c>
      <c r="X682" s="6"/>
      <c r="Y682" s="6"/>
      <c r="Z682" s="6"/>
      <c r="AA682" s="6" t="s">
        <v>59</v>
      </c>
    </row>
    <row r="683" spans="1:27" s="4" customFormat="1" ht="51.95" customHeight="1">
      <c r="A683" s="5">
        <v>0</v>
      </c>
      <c r="B683" s="6" t="s">
        <v>4048</v>
      </c>
      <c r="C683" s="13">
        <v>870</v>
      </c>
      <c r="D683" s="8" t="s">
        <v>4049</v>
      </c>
      <c r="E683" s="8" t="s">
        <v>4050</v>
      </c>
      <c r="F683" s="8" t="s">
        <v>4051</v>
      </c>
      <c r="G683" s="6" t="s">
        <v>37</v>
      </c>
      <c r="H683" s="6" t="s">
        <v>38</v>
      </c>
      <c r="I683" s="8" t="s">
        <v>1639</v>
      </c>
      <c r="J683" s="9">
        <v>1</v>
      </c>
      <c r="K683" s="9">
        <v>176</v>
      </c>
      <c r="L683" s="9">
        <v>2024</v>
      </c>
      <c r="M683" s="8" t="s">
        <v>4052</v>
      </c>
      <c r="N683" s="8" t="s">
        <v>41</v>
      </c>
      <c r="O683" s="8" t="s">
        <v>42</v>
      </c>
      <c r="P683" s="6" t="s">
        <v>66</v>
      </c>
      <c r="Q683" s="8" t="s">
        <v>141</v>
      </c>
      <c r="R683" s="10" t="s">
        <v>4053</v>
      </c>
      <c r="S683" s="11"/>
      <c r="T683" s="6"/>
      <c r="U683" s="28" t="str">
        <f>HYPERLINK("https://media.infra-m.ru/2130/2130607/cover/2130607.jpg", "Обложка")</f>
        <v>Обложка</v>
      </c>
      <c r="V683" s="12"/>
      <c r="W683" s="8" t="s">
        <v>1643</v>
      </c>
      <c r="X683" s="6" t="s">
        <v>2503</v>
      </c>
      <c r="Y683" s="6"/>
      <c r="Z683" s="6"/>
      <c r="AA683" s="6" t="s">
        <v>48</v>
      </c>
    </row>
    <row r="684" spans="1:27" s="4" customFormat="1" ht="51.95" customHeight="1">
      <c r="A684" s="5">
        <v>0</v>
      </c>
      <c r="B684" s="6" t="s">
        <v>4054</v>
      </c>
      <c r="C684" s="7">
        <v>1240</v>
      </c>
      <c r="D684" s="8" t="s">
        <v>4055</v>
      </c>
      <c r="E684" s="8" t="s">
        <v>4056</v>
      </c>
      <c r="F684" s="8" t="s">
        <v>760</v>
      </c>
      <c r="G684" s="6" t="s">
        <v>75</v>
      </c>
      <c r="H684" s="6" t="s">
        <v>38</v>
      </c>
      <c r="I684" s="8" t="s">
        <v>4057</v>
      </c>
      <c r="J684" s="9">
        <v>1</v>
      </c>
      <c r="K684" s="9">
        <v>274</v>
      </c>
      <c r="L684" s="9">
        <v>2022</v>
      </c>
      <c r="M684" s="8" t="s">
        <v>4058</v>
      </c>
      <c r="N684" s="8" t="s">
        <v>41</v>
      </c>
      <c r="O684" s="8" t="s">
        <v>42</v>
      </c>
      <c r="P684" s="6" t="s">
        <v>78</v>
      </c>
      <c r="Q684" s="8" t="s">
        <v>97</v>
      </c>
      <c r="R684" s="10" t="s">
        <v>4059</v>
      </c>
      <c r="S684" s="11" t="s">
        <v>4060</v>
      </c>
      <c r="T684" s="6"/>
      <c r="U684" s="28" t="str">
        <f>HYPERLINK("https://media.infra-m.ru/1843/1843555/cover/1843555.jpg", "Обложка")</f>
        <v>Обложка</v>
      </c>
      <c r="V684" s="28" t="str">
        <f>HYPERLINK("https://znanium.ru/catalog/product/1843555", "Ознакомиться")</f>
        <v>Ознакомиться</v>
      </c>
      <c r="W684" s="8" t="s">
        <v>764</v>
      </c>
      <c r="X684" s="6"/>
      <c r="Y684" s="6"/>
      <c r="Z684" s="6"/>
      <c r="AA684" s="6" t="s">
        <v>405</v>
      </c>
    </row>
    <row r="685" spans="1:27" s="4" customFormat="1" ht="51.95" customHeight="1">
      <c r="A685" s="5">
        <v>0</v>
      </c>
      <c r="B685" s="6" t="s">
        <v>4061</v>
      </c>
      <c r="C685" s="7">
        <v>1084.9000000000001</v>
      </c>
      <c r="D685" s="8" t="s">
        <v>4062</v>
      </c>
      <c r="E685" s="8" t="s">
        <v>4063</v>
      </c>
      <c r="F685" s="8" t="s">
        <v>4064</v>
      </c>
      <c r="G685" s="6" t="s">
        <v>37</v>
      </c>
      <c r="H685" s="6" t="s">
        <v>38</v>
      </c>
      <c r="I685" s="8" t="s">
        <v>94</v>
      </c>
      <c r="J685" s="9">
        <v>1</v>
      </c>
      <c r="K685" s="9">
        <v>241</v>
      </c>
      <c r="L685" s="9">
        <v>2023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97</v>
      </c>
      <c r="R685" s="10" t="s">
        <v>1426</v>
      </c>
      <c r="S685" s="11" t="s">
        <v>4066</v>
      </c>
      <c r="T685" s="6"/>
      <c r="U685" s="28" t="str">
        <f>HYPERLINK("https://media.infra-m.ru/1971/1971861/cover/1971861.jpg", "Обложка")</f>
        <v>Обложка</v>
      </c>
      <c r="V685" s="28" t="str">
        <f>HYPERLINK("https://znanium.ru/catalog/product/1971861", "Ознакомиться")</f>
        <v>Ознакомиться</v>
      </c>
      <c r="W685" s="8" t="s">
        <v>3735</v>
      </c>
      <c r="X685" s="6"/>
      <c r="Y685" s="6"/>
      <c r="Z685" s="6"/>
      <c r="AA685" s="6" t="s">
        <v>358</v>
      </c>
    </row>
    <row r="686" spans="1:27" s="4" customFormat="1" ht="51.95" customHeight="1">
      <c r="A686" s="5">
        <v>0</v>
      </c>
      <c r="B686" s="6" t="s">
        <v>4067</v>
      </c>
      <c r="C686" s="13">
        <v>490</v>
      </c>
      <c r="D686" s="8" t="s">
        <v>4068</v>
      </c>
      <c r="E686" s="8" t="s">
        <v>4063</v>
      </c>
      <c r="F686" s="8" t="s">
        <v>4069</v>
      </c>
      <c r="G686" s="6" t="s">
        <v>53</v>
      </c>
      <c r="H686" s="6" t="s">
        <v>1450</v>
      </c>
      <c r="I686" s="8"/>
      <c r="J686" s="9">
        <v>1</v>
      </c>
      <c r="K686" s="9">
        <v>144</v>
      </c>
      <c r="L686" s="9">
        <v>2020</v>
      </c>
      <c r="M686" s="8" t="s">
        <v>4070</v>
      </c>
      <c r="N686" s="8" t="s">
        <v>41</v>
      </c>
      <c r="O686" s="8" t="s">
        <v>42</v>
      </c>
      <c r="P686" s="6" t="s">
        <v>66</v>
      </c>
      <c r="Q686" s="8" t="s">
        <v>97</v>
      </c>
      <c r="R686" s="10" t="s">
        <v>4071</v>
      </c>
      <c r="S686" s="11"/>
      <c r="T686" s="6"/>
      <c r="U686" s="28" t="str">
        <f>HYPERLINK("https://media.infra-m.ru/1048/1048522/cover/1048522.jpg", "Обложка")</f>
        <v>Обложка</v>
      </c>
      <c r="V686" s="28" t="str">
        <f>HYPERLINK("https://znanium.ru/catalog/product/1033474", "Ознакомиться")</f>
        <v>Ознакомиться</v>
      </c>
      <c r="W686" s="8" t="s">
        <v>4072</v>
      </c>
      <c r="X686" s="6"/>
      <c r="Y686" s="6"/>
      <c r="Z686" s="6"/>
      <c r="AA686" s="6" t="s">
        <v>101</v>
      </c>
    </row>
    <row r="687" spans="1:27" s="4" customFormat="1" ht="51.95" customHeight="1">
      <c r="A687" s="5">
        <v>0</v>
      </c>
      <c r="B687" s="6" t="s">
        <v>4073</v>
      </c>
      <c r="C687" s="7">
        <v>1984</v>
      </c>
      <c r="D687" s="8" t="s">
        <v>4074</v>
      </c>
      <c r="E687" s="8" t="s">
        <v>4075</v>
      </c>
      <c r="F687" s="8" t="s">
        <v>4076</v>
      </c>
      <c r="G687" s="6" t="s">
        <v>37</v>
      </c>
      <c r="H687" s="6" t="s">
        <v>352</v>
      </c>
      <c r="I687" s="8" t="s">
        <v>394</v>
      </c>
      <c r="J687" s="9">
        <v>1</v>
      </c>
      <c r="K687" s="9">
        <v>432</v>
      </c>
      <c r="L687" s="9">
        <v>2024</v>
      </c>
      <c r="M687" s="8" t="s">
        <v>4077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107</v>
      </c>
      <c r="S687" s="11" t="s">
        <v>4078</v>
      </c>
      <c r="T687" s="6"/>
      <c r="U687" s="28" t="str">
        <f>HYPERLINK("https://media.infra-m.ru/2056/2056629/cover/2056629.jpg", "Обложка")</f>
        <v>Обложка</v>
      </c>
      <c r="V687" s="28" t="str">
        <f>HYPERLINK("https://znanium.ru/catalog/product/2056629", "Ознакомиться")</f>
        <v>Ознакомиться</v>
      </c>
      <c r="W687" s="8" t="s">
        <v>275</v>
      </c>
      <c r="X687" s="6"/>
      <c r="Y687" s="6"/>
      <c r="Z687" s="6"/>
      <c r="AA687" s="6" t="s">
        <v>338</v>
      </c>
    </row>
    <row r="688" spans="1:27" s="4" customFormat="1" ht="51.95" customHeight="1">
      <c r="A688" s="5">
        <v>0</v>
      </c>
      <c r="B688" s="6" t="s">
        <v>4079</v>
      </c>
      <c r="C688" s="7">
        <v>1644.9</v>
      </c>
      <c r="D688" s="8" t="s">
        <v>4080</v>
      </c>
      <c r="E688" s="8" t="s">
        <v>4081</v>
      </c>
      <c r="F688" s="8" t="s">
        <v>4082</v>
      </c>
      <c r="G688" s="6" t="s">
        <v>37</v>
      </c>
      <c r="H688" s="6" t="s">
        <v>38</v>
      </c>
      <c r="I688" s="8" t="s">
        <v>94</v>
      </c>
      <c r="J688" s="9">
        <v>1</v>
      </c>
      <c r="K688" s="9">
        <v>432</v>
      </c>
      <c r="L688" s="9">
        <v>2022</v>
      </c>
      <c r="M688" s="8" t="s">
        <v>4083</v>
      </c>
      <c r="N688" s="8" t="s">
        <v>41</v>
      </c>
      <c r="O688" s="8" t="s">
        <v>42</v>
      </c>
      <c r="P688" s="6" t="s">
        <v>66</v>
      </c>
      <c r="Q688" s="8" t="s">
        <v>97</v>
      </c>
      <c r="R688" s="10" t="s">
        <v>4084</v>
      </c>
      <c r="S688" s="11" t="s">
        <v>4085</v>
      </c>
      <c r="T688" s="6"/>
      <c r="U688" s="28" t="str">
        <f>HYPERLINK("https://media.infra-m.ru/1841/1841423/cover/1841423.jpg", "Обложка")</f>
        <v>Обложка</v>
      </c>
      <c r="V688" s="28" t="str">
        <f>HYPERLINK("https://znanium.ru/catalog/product/1841423", "Ознакомиться")</f>
        <v>Ознакомиться</v>
      </c>
      <c r="W688" s="8" t="s">
        <v>1310</v>
      </c>
      <c r="X688" s="6"/>
      <c r="Y688" s="6"/>
      <c r="Z688" s="6"/>
      <c r="AA688" s="6" t="s">
        <v>613</v>
      </c>
    </row>
    <row r="689" spans="1:5" s="15" customFormat="1" ht="21.95" customHeight="1"/>
    <row r="690" spans="1:5" ht="15.95" customHeight="1">
      <c r="A690" s="25" t="s">
        <v>23</v>
      </c>
      <c r="B690" s="25"/>
    </row>
    <row r="691" spans="1:5" s="16" customFormat="1" ht="12.95" customHeight="1"/>
    <row r="692" spans="1:5" s="16" customFormat="1" ht="12.95" customHeight="1">
      <c r="A692" s="26" t="s">
        <v>4086</v>
      </c>
      <c r="B692" s="26"/>
      <c r="C692" s="26" t="s">
        <v>4087</v>
      </c>
      <c r="D692" s="26"/>
      <c r="E692" s="26"/>
    </row>
    <row r="693" spans="1:5" s="16" customFormat="1" ht="12.95" customHeight="1">
      <c r="A693" s="26" t="s">
        <v>2465</v>
      </c>
      <c r="B693" s="26"/>
      <c r="C693" s="26" t="s">
        <v>4088</v>
      </c>
      <c r="D693" s="26"/>
      <c r="E693" s="26"/>
    </row>
    <row r="694" spans="1:5" s="16" customFormat="1" ht="12.95" customHeight="1">
      <c r="A694" s="26" t="s">
        <v>4089</v>
      </c>
      <c r="B694" s="26"/>
      <c r="C694" s="26" t="s">
        <v>4088</v>
      </c>
      <c r="D694" s="26"/>
      <c r="E694" s="26"/>
    </row>
    <row r="695" spans="1:5" s="16" customFormat="1" ht="12.95" customHeight="1">
      <c r="A695" s="26" t="s">
        <v>4090</v>
      </c>
      <c r="B695" s="26"/>
      <c r="C695" s="26" t="s">
        <v>4091</v>
      </c>
      <c r="D695" s="26"/>
      <c r="E695" s="26"/>
    </row>
    <row r="696" spans="1:5" s="16" customFormat="1" ht="12.95" customHeight="1">
      <c r="A696" s="26" t="s">
        <v>4092</v>
      </c>
      <c r="B696" s="26"/>
      <c r="C696" s="26" t="s">
        <v>4093</v>
      </c>
      <c r="D696" s="26"/>
      <c r="E696" s="26"/>
    </row>
    <row r="697" spans="1:5" s="16" customFormat="1" ht="12.95" customHeight="1">
      <c r="A697" s="26" t="s">
        <v>4094</v>
      </c>
      <c r="B697" s="26"/>
      <c r="C697" s="26" t="s">
        <v>4095</v>
      </c>
      <c r="D697" s="26"/>
      <c r="E697" s="26"/>
    </row>
    <row r="698" spans="1:5" s="16" customFormat="1" ht="12.95" customHeight="1">
      <c r="A698" s="26" t="s">
        <v>4096</v>
      </c>
      <c r="B698" s="26"/>
      <c r="C698" s="26" t="s">
        <v>4095</v>
      </c>
      <c r="D698" s="26"/>
      <c r="E698" s="26"/>
    </row>
    <row r="699" spans="1:5" s="16" customFormat="1" ht="12.95" customHeight="1">
      <c r="A699" s="26" t="s">
        <v>4097</v>
      </c>
      <c r="B699" s="26"/>
      <c r="C699" s="26" t="s">
        <v>4098</v>
      </c>
      <c r="D699" s="26"/>
      <c r="E699" s="26"/>
    </row>
    <row r="700" spans="1:5" s="16" customFormat="1" ht="12.95" customHeight="1">
      <c r="A700" s="26" t="s">
        <v>4099</v>
      </c>
      <c r="B700" s="26"/>
      <c r="C700" s="26" t="s">
        <v>4100</v>
      </c>
      <c r="D700" s="26"/>
      <c r="E700" s="26"/>
    </row>
    <row r="701" spans="1:5" s="16" customFormat="1" ht="12.95" customHeight="1">
      <c r="A701" s="26" t="s">
        <v>4101</v>
      </c>
      <c r="B701" s="26"/>
      <c r="C701" s="26" t="s">
        <v>4102</v>
      </c>
      <c r="D701" s="26"/>
      <c r="E701" s="26"/>
    </row>
    <row r="702" spans="1:5" s="16" customFormat="1" ht="12.95" customHeight="1">
      <c r="A702" s="26" t="s">
        <v>4103</v>
      </c>
      <c r="B702" s="26"/>
      <c r="C702" s="26" t="s">
        <v>4104</v>
      </c>
      <c r="D702" s="26"/>
      <c r="E702" s="26"/>
    </row>
    <row r="703" spans="1:5" s="16" customFormat="1" ht="12.95" customHeight="1">
      <c r="A703" s="26" t="s">
        <v>4105</v>
      </c>
      <c r="B703" s="26"/>
      <c r="C703" s="26" t="s">
        <v>4106</v>
      </c>
      <c r="D703" s="26"/>
      <c r="E703" s="26"/>
    </row>
    <row r="704" spans="1:5" s="16" customFormat="1" ht="12.95" customHeight="1">
      <c r="A704" s="26" t="s">
        <v>4107</v>
      </c>
      <c r="B704" s="26"/>
      <c r="C704" s="26" t="s">
        <v>4108</v>
      </c>
      <c r="D704" s="26"/>
      <c r="E704" s="26"/>
    </row>
    <row r="705" spans="1:5" s="16" customFormat="1" ht="12.95" customHeight="1">
      <c r="A705" s="26" t="s">
        <v>4109</v>
      </c>
      <c r="B705" s="26"/>
      <c r="C705" s="26" t="s">
        <v>4110</v>
      </c>
      <c r="D705" s="26"/>
      <c r="E705" s="26"/>
    </row>
    <row r="706" spans="1:5" s="16" customFormat="1" ht="12.95" customHeight="1">
      <c r="A706" s="26" t="s">
        <v>4111</v>
      </c>
      <c r="B706" s="26"/>
      <c r="C706" s="26" t="s">
        <v>4112</v>
      </c>
      <c r="D706" s="26"/>
      <c r="E706" s="26"/>
    </row>
    <row r="707" spans="1:5" s="16" customFormat="1" ht="12.95" customHeight="1">
      <c r="A707" s="26" t="s">
        <v>4113</v>
      </c>
      <c r="B707" s="26"/>
      <c r="C707" s="26" t="s">
        <v>4114</v>
      </c>
      <c r="D707" s="26"/>
      <c r="E707" s="26"/>
    </row>
    <row r="708" spans="1:5" s="16" customFormat="1" ht="12.95" customHeight="1">
      <c r="A708" s="26" t="s">
        <v>4115</v>
      </c>
      <c r="B708" s="26"/>
      <c r="C708" s="26" t="s">
        <v>4116</v>
      </c>
      <c r="D708" s="26"/>
      <c r="E708" s="26"/>
    </row>
    <row r="709" spans="1:5" s="16" customFormat="1" ht="12.95" customHeight="1">
      <c r="A709" s="26" t="s">
        <v>4117</v>
      </c>
      <c r="B709" s="26"/>
      <c r="C709" s="26" t="s">
        <v>4118</v>
      </c>
      <c r="D709" s="26"/>
      <c r="E709" s="26"/>
    </row>
    <row r="710" spans="1:5" s="16" customFormat="1" ht="12.95" customHeight="1">
      <c r="A710" s="26" t="s">
        <v>4119</v>
      </c>
      <c r="B710" s="26"/>
      <c r="C710" s="26" t="s">
        <v>4118</v>
      </c>
      <c r="D710" s="26"/>
      <c r="E710" s="26"/>
    </row>
    <row r="711" spans="1:5" s="16" customFormat="1" ht="12.95" customHeight="1">
      <c r="A711" s="26" t="s">
        <v>4120</v>
      </c>
      <c r="B711" s="26"/>
      <c r="C711" s="26" t="s">
        <v>4121</v>
      </c>
      <c r="D711" s="26"/>
      <c r="E711" s="26"/>
    </row>
    <row r="712" spans="1:5" s="16" customFormat="1" ht="12.95" customHeight="1">
      <c r="A712" s="26" t="s">
        <v>4122</v>
      </c>
      <c r="B712" s="26"/>
      <c r="C712" s="26" t="s">
        <v>4123</v>
      </c>
      <c r="D712" s="26"/>
      <c r="E712" s="26"/>
    </row>
    <row r="713" spans="1:5" s="16" customFormat="1" ht="12.95" customHeight="1">
      <c r="A713" s="26" t="s">
        <v>4124</v>
      </c>
      <c r="B713" s="26"/>
      <c r="C713" s="26" t="s">
        <v>4125</v>
      </c>
      <c r="D713" s="26"/>
      <c r="E713" s="26"/>
    </row>
    <row r="714" spans="1:5" s="16" customFormat="1" ht="12.95" customHeight="1">
      <c r="A714" s="26" t="s">
        <v>4126</v>
      </c>
      <c r="B714" s="26"/>
      <c r="C714" s="26" t="s">
        <v>4123</v>
      </c>
      <c r="D714" s="26"/>
      <c r="E714" s="26"/>
    </row>
    <row r="715" spans="1:5" s="16" customFormat="1" ht="12.95" customHeight="1">
      <c r="A715" s="26" t="s">
        <v>4127</v>
      </c>
      <c r="B715" s="26"/>
      <c r="C715" s="26" t="s">
        <v>4128</v>
      </c>
      <c r="D715" s="26"/>
      <c r="E715" s="26"/>
    </row>
    <row r="716" spans="1:5" s="16" customFormat="1" ht="12.95" customHeight="1">
      <c r="A716" s="26" t="s">
        <v>4129</v>
      </c>
      <c r="B716" s="26"/>
      <c r="C716" s="26" t="s">
        <v>4130</v>
      </c>
      <c r="D716" s="26"/>
      <c r="E716" s="26"/>
    </row>
    <row r="717" spans="1:5" s="16" customFormat="1" ht="12.95" customHeight="1">
      <c r="A717" s="26" t="s">
        <v>4131</v>
      </c>
      <c r="B717" s="26"/>
      <c r="C717" s="26" t="s">
        <v>4132</v>
      </c>
      <c r="D717" s="26"/>
      <c r="E717" s="26"/>
    </row>
    <row r="718" spans="1:5" s="16" customFormat="1" ht="12.95" customHeight="1">
      <c r="A718" s="26" t="s">
        <v>4133</v>
      </c>
      <c r="B718" s="26"/>
      <c r="C718" s="26" t="s">
        <v>4130</v>
      </c>
      <c r="D718" s="26"/>
      <c r="E718" s="26"/>
    </row>
    <row r="719" spans="1:5" s="16" customFormat="1" ht="12.95" customHeight="1">
      <c r="A719" s="26" t="s">
        <v>4134</v>
      </c>
      <c r="B719" s="26"/>
      <c r="C719" s="26" t="s">
        <v>4135</v>
      </c>
      <c r="D719" s="26"/>
      <c r="E719" s="26"/>
    </row>
    <row r="720" spans="1:5" s="16" customFormat="1" ht="12.95" customHeight="1">
      <c r="A720" s="26" t="s">
        <v>4136</v>
      </c>
      <c r="B720" s="26"/>
      <c r="C720" s="26" t="s">
        <v>4137</v>
      </c>
      <c r="D720" s="26"/>
      <c r="E720" s="26"/>
    </row>
    <row r="721" spans="1:5" s="16" customFormat="1" ht="12.95" customHeight="1">
      <c r="A721" s="26" t="s">
        <v>4138</v>
      </c>
      <c r="B721" s="26"/>
      <c r="C721" s="26" t="s">
        <v>4139</v>
      </c>
      <c r="D721" s="26"/>
      <c r="E721" s="26"/>
    </row>
    <row r="722" spans="1:5" s="16" customFormat="1" ht="12.95" customHeight="1">
      <c r="A722" s="26" t="s">
        <v>4140</v>
      </c>
      <c r="B722" s="26"/>
      <c r="C722" s="26" t="s">
        <v>4141</v>
      </c>
      <c r="D722" s="26"/>
      <c r="E722" s="26"/>
    </row>
    <row r="723" spans="1:5" s="16" customFormat="1" ht="12.95" customHeight="1">
      <c r="A723" s="26" t="s">
        <v>4142</v>
      </c>
      <c r="B723" s="26"/>
      <c r="C723" s="26" t="s">
        <v>4141</v>
      </c>
      <c r="D723" s="26"/>
      <c r="E723" s="26"/>
    </row>
    <row r="724" spans="1:5" s="16" customFormat="1" ht="12.95" customHeight="1">
      <c r="A724" s="26" t="s">
        <v>4143</v>
      </c>
      <c r="B724" s="26"/>
      <c r="C724" s="26" t="s">
        <v>4144</v>
      </c>
      <c r="D724" s="26"/>
      <c r="E724" s="26"/>
    </row>
    <row r="725" spans="1:5" s="16" customFormat="1" ht="12.95" customHeight="1">
      <c r="A725" s="26" t="s">
        <v>4145</v>
      </c>
      <c r="B725" s="26"/>
      <c r="C725" s="26" t="s">
        <v>4146</v>
      </c>
      <c r="D725" s="26"/>
      <c r="E725" s="26"/>
    </row>
    <row r="726" spans="1:5" s="16" customFormat="1" ht="12.95" customHeight="1">
      <c r="A726" s="26" t="s">
        <v>4147</v>
      </c>
      <c r="B726" s="26"/>
      <c r="C726" s="26" t="s">
        <v>4148</v>
      </c>
      <c r="D726" s="26"/>
      <c r="E726" s="26"/>
    </row>
    <row r="727" spans="1:5" s="16" customFormat="1" ht="12.95" customHeight="1">
      <c r="A727" s="26" t="s">
        <v>4149</v>
      </c>
      <c r="B727" s="26"/>
      <c r="C727" s="26" t="s">
        <v>4150</v>
      </c>
      <c r="D727" s="26"/>
      <c r="E727" s="26"/>
    </row>
    <row r="728" spans="1:5" s="16" customFormat="1" ht="12.95" customHeight="1">
      <c r="A728" s="26" t="s">
        <v>4151</v>
      </c>
      <c r="B728" s="26"/>
      <c r="C728" s="26" t="s">
        <v>4150</v>
      </c>
      <c r="D728" s="26"/>
      <c r="E728" s="26"/>
    </row>
    <row r="729" spans="1:5" s="16" customFormat="1" ht="12.95" customHeight="1">
      <c r="A729" s="26" t="s">
        <v>4152</v>
      </c>
      <c r="B729" s="26"/>
      <c r="C729" s="26" t="s">
        <v>4153</v>
      </c>
      <c r="D729" s="26"/>
      <c r="E729" s="26"/>
    </row>
    <row r="730" spans="1:5" s="16" customFormat="1" ht="12.95" customHeight="1">
      <c r="A730" s="26" t="s">
        <v>4154</v>
      </c>
      <c r="B730" s="26"/>
      <c r="C730" s="26" t="s">
        <v>4155</v>
      </c>
      <c r="D730" s="26"/>
      <c r="E730" s="26"/>
    </row>
    <row r="731" spans="1:5" s="16" customFormat="1" ht="12.95" customHeight="1">
      <c r="A731" s="26" t="s">
        <v>4156</v>
      </c>
      <c r="B731" s="26"/>
      <c r="C731" s="26" t="s">
        <v>4157</v>
      </c>
      <c r="D731" s="26"/>
      <c r="E731" s="26"/>
    </row>
    <row r="732" spans="1:5" s="16" customFormat="1" ht="12.95" customHeight="1">
      <c r="A732" s="26" t="s">
        <v>4158</v>
      </c>
      <c r="B732" s="26"/>
      <c r="C732" s="26" t="s">
        <v>4159</v>
      </c>
      <c r="D732" s="26"/>
      <c r="E732" s="26"/>
    </row>
    <row r="733" spans="1:5" s="16" customFormat="1" ht="12.95" customHeight="1">
      <c r="A733" s="26" t="s">
        <v>4160</v>
      </c>
      <c r="B733" s="26"/>
      <c r="C733" s="26" t="s">
        <v>4161</v>
      </c>
      <c r="D733" s="26"/>
      <c r="E733" s="26"/>
    </row>
    <row r="734" spans="1:5" s="16" customFormat="1" ht="12.95" customHeight="1">
      <c r="A734" s="26" t="s">
        <v>4162</v>
      </c>
      <c r="B734" s="26"/>
      <c r="C734" s="26" t="s">
        <v>4163</v>
      </c>
      <c r="D734" s="26"/>
      <c r="E734" s="26"/>
    </row>
    <row r="735" spans="1:5" s="16" customFormat="1" ht="12.95" customHeight="1">
      <c r="A735" s="26" t="s">
        <v>4164</v>
      </c>
      <c r="B735" s="26"/>
      <c r="C735" s="26" t="s">
        <v>4165</v>
      </c>
      <c r="D735" s="26"/>
      <c r="E735" s="26"/>
    </row>
    <row r="736" spans="1:5" s="16" customFormat="1" ht="12.95" customHeight="1">
      <c r="A736" s="26" t="s">
        <v>4166</v>
      </c>
      <c r="B736" s="26"/>
      <c r="C736" s="26" t="s">
        <v>4167</v>
      </c>
      <c r="D736" s="26"/>
      <c r="E736" s="26"/>
    </row>
    <row r="737" spans="1:5" s="16" customFormat="1" ht="12.95" customHeight="1">
      <c r="A737" s="26" t="s">
        <v>4168</v>
      </c>
      <c r="B737" s="26"/>
      <c r="C737" s="26" t="s">
        <v>4169</v>
      </c>
      <c r="D737" s="26"/>
      <c r="E737" s="26"/>
    </row>
    <row r="738" spans="1:5" s="16" customFormat="1" ht="12.95" customHeight="1">
      <c r="A738" s="26" t="s">
        <v>4170</v>
      </c>
      <c r="B738" s="26"/>
      <c r="C738" s="26" t="s">
        <v>4171</v>
      </c>
      <c r="D738" s="26"/>
      <c r="E738" s="26"/>
    </row>
    <row r="739" spans="1:5" s="16" customFormat="1" ht="12.95" customHeight="1">
      <c r="A739" s="26" t="s">
        <v>4172</v>
      </c>
      <c r="B739" s="26"/>
      <c r="C739" s="26" t="s">
        <v>4173</v>
      </c>
      <c r="D739" s="26"/>
      <c r="E739" s="26"/>
    </row>
    <row r="740" spans="1:5" s="16" customFormat="1" ht="12.95" customHeight="1">
      <c r="A740" s="26" t="s">
        <v>4174</v>
      </c>
      <c r="B740" s="26"/>
      <c r="C740" s="26" t="s">
        <v>4175</v>
      </c>
      <c r="D740" s="26"/>
      <c r="E740" s="26"/>
    </row>
    <row r="741" spans="1:5" s="16" customFormat="1" ht="12.95" customHeight="1">
      <c r="A741" s="26" t="s">
        <v>4176</v>
      </c>
      <c r="B741" s="26"/>
      <c r="C741" s="26" t="s">
        <v>4177</v>
      </c>
      <c r="D741" s="26"/>
      <c r="E741" s="26"/>
    </row>
    <row r="742" spans="1:5" s="16" customFormat="1" ht="12.95" customHeight="1">
      <c r="A742" s="26" t="s">
        <v>4178</v>
      </c>
      <c r="B742" s="26"/>
      <c r="C742" s="26" t="s">
        <v>4179</v>
      </c>
      <c r="D742" s="26"/>
      <c r="E742" s="26"/>
    </row>
    <row r="743" spans="1:5" s="16" customFormat="1" ht="12.95" customHeight="1">
      <c r="A743" s="26" t="s">
        <v>4180</v>
      </c>
      <c r="B743" s="26"/>
      <c r="C743" s="26" t="s">
        <v>4181</v>
      </c>
      <c r="D743" s="26"/>
      <c r="E743" s="26"/>
    </row>
    <row r="744" spans="1:5" s="16" customFormat="1" ht="12.95" customHeight="1">
      <c r="A744" s="26" t="s">
        <v>4182</v>
      </c>
      <c r="B744" s="26"/>
      <c r="C744" s="26" t="s">
        <v>4179</v>
      </c>
      <c r="D744" s="26"/>
      <c r="E744" s="26"/>
    </row>
    <row r="745" spans="1:5" s="16" customFormat="1" ht="12.95" customHeight="1">
      <c r="A745" s="26" t="s">
        <v>4183</v>
      </c>
      <c r="B745" s="26"/>
      <c r="C745" s="26" t="s">
        <v>4184</v>
      </c>
      <c r="D745" s="26"/>
      <c r="E745" s="26"/>
    </row>
    <row r="746" spans="1:5" s="16" customFormat="1" ht="12.95" customHeight="1">
      <c r="A746" s="26" t="s">
        <v>4185</v>
      </c>
      <c r="B746" s="26"/>
      <c r="C746" s="26" t="s">
        <v>4186</v>
      </c>
      <c r="D746" s="26"/>
      <c r="E746" s="26"/>
    </row>
    <row r="747" spans="1:5" s="16" customFormat="1" ht="12.95" customHeight="1">
      <c r="A747" s="26" t="s">
        <v>4187</v>
      </c>
      <c r="B747" s="26"/>
      <c r="C747" s="26" t="s">
        <v>4188</v>
      </c>
      <c r="D747" s="26"/>
      <c r="E747" s="26"/>
    </row>
    <row r="748" spans="1:5" s="16" customFormat="1" ht="12.95" customHeight="1">
      <c r="A748" s="26" t="s">
        <v>4189</v>
      </c>
      <c r="B748" s="26"/>
      <c r="C748" s="26" t="s">
        <v>4190</v>
      </c>
      <c r="D748" s="26"/>
      <c r="E748" s="26"/>
    </row>
    <row r="749" spans="1:5" s="16" customFormat="1" ht="12.95" customHeight="1">
      <c r="A749" s="26" t="s">
        <v>4191</v>
      </c>
      <c r="B749" s="26"/>
      <c r="C749" s="26" t="s">
        <v>4192</v>
      </c>
      <c r="D749" s="26"/>
      <c r="E749" s="26"/>
    </row>
    <row r="750" spans="1:5" s="16" customFormat="1" ht="12.95" customHeight="1">
      <c r="A750" s="26" t="s">
        <v>4193</v>
      </c>
      <c r="B750" s="26"/>
      <c r="C750" s="26" t="s">
        <v>4194</v>
      </c>
      <c r="D750" s="26"/>
      <c r="E750" s="26"/>
    </row>
    <row r="751" spans="1:5" s="16" customFormat="1" ht="12.95" customHeight="1">
      <c r="A751" s="26" t="s">
        <v>4195</v>
      </c>
      <c r="B751" s="26"/>
      <c r="C751" s="26" t="s">
        <v>4196</v>
      </c>
      <c r="D751" s="26"/>
      <c r="E751" s="26"/>
    </row>
    <row r="752" spans="1:5" s="16" customFormat="1" ht="12.95" customHeight="1">
      <c r="A752" s="26" t="s">
        <v>4197</v>
      </c>
      <c r="B752" s="26"/>
      <c r="C752" s="26" t="s">
        <v>4192</v>
      </c>
      <c r="D752" s="26"/>
      <c r="E752" s="26"/>
    </row>
    <row r="753" spans="1:5" s="16" customFormat="1" ht="12.95" customHeight="1">
      <c r="A753" s="26" t="s">
        <v>4198</v>
      </c>
      <c r="B753" s="26"/>
      <c r="C753" s="26" t="s">
        <v>4194</v>
      </c>
      <c r="D753" s="26"/>
      <c r="E753" s="26"/>
    </row>
    <row r="754" spans="1:5" s="16" customFormat="1" ht="12.95" customHeight="1">
      <c r="A754" s="26" t="s">
        <v>4199</v>
      </c>
      <c r="B754" s="26"/>
      <c r="C754" s="26" t="s">
        <v>4200</v>
      </c>
      <c r="D754" s="26"/>
      <c r="E754" s="26"/>
    </row>
    <row r="755" spans="1:5" s="16" customFormat="1" ht="12.95" customHeight="1">
      <c r="A755" s="26" t="s">
        <v>4201</v>
      </c>
      <c r="B755" s="26"/>
      <c r="C755" s="26" t="s">
        <v>4202</v>
      </c>
      <c r="D755" s="26"/>
      <c r="E755" s="26"/>
    </row>
    <row r="756" spans="1:5" s="16" customFormat="1" ht="12.95" customHeight="1">
      <c r="A756" s="26" t="s">
        <v>4203</v>
      </c>
      <c r="B756" s="26"/>
      <c r="C756" s="26" t="s">
        <v>4204</v>
      </c>
      <c r="D756" s="26"/>
      <c r="E756" s="26"/>
    </row>
    <row r="757" spans="1:5" s="16" customFormat="1" ht="12.95" customHeight="1">
      <c r="A757" s="26" t="s">
        <v>4205</v>
      </c>
      <c r="B757" s="26"/>
      <c r="C757" s="26" t="s">
        <v>4206</v>
      </c>
      <c r="D757" s="26"/>
      <c r="E757" s="26"/>
    </row>
    <row r="758" spans="1:5" s="16" customFormat="1" ht="12.95" customHeight="1">
      <c r="A758" s="26" t="s">
        <v>4205</v>
      </c>
      <c r="B758" s="26"/>
      <c r="C758" s="26" t="s">
        <v>4206</v>
      </c>
      <c r="D758" s="26"/>
      <c r="E758" s="26"/>
    </row>
    <row r="759" spans="1:5" s="16" customFormat="1" ht="12.95" customHeight="1">
      <c r="A759" s="26" t="s">
        <v>4207</v>
      </c>
      <c r="B759" s="26"/>
      <c r="C759" s="26" t="s">
        <v>4208</v>
      </c>
      <c r="D759" s="26"/>
      <c r="E759" s="26"/>
    </row>
    <row r="760" spans="1:5" s="16" customFormat="1" ht="12.95" customHeight="1">
      <c r="A760" s="26" t="s">
        <v>202</v>
      </c>
      <c r="B760" s="26"/>
      <c r="C760" s="26" t="s">
        <v>4209</v>
      </c>
      <c r="D760" s="26"/>
      <c r="E760" s="26"/>
    </row>
    <row r="761" spans="1:5" s="16" customFormat="1" ht="12.95" customHeight="1">
      <c r="A761" s="26" t="s">
        <v>4210</v>
      </c>
      <c r="B761" s="26"/>
      <c r="C761" s="26" t="s">
        <v>4211</v>
      </c>
      <c r="D761" s="26"/>
      <c r="E761" s="26"/>
    </row>
    <row r="762" spans="1:5" s="16" customFormat="1" ht="12.95" customHeight="1">
      <c r="A762" s="26" t="s">
        <v>4212</v>
      </c>
      <c r="B762" s="26"/>
      <c r="C762" s="26" t="s">
        <v>4213</v>
      </c>
      <c r="D762" s="26"/>
      <c r="E762" s="26"/>
    </row>
    <row r="763" spans="1:5" s="16" customFormat="1" ht="12.95" customHeight="1">
      <c r="A763" s="26" t="s">
        <v>3601</v>
      </c>
      <c r="B763" s="26"/>
      <c r="C763" s="26" t="s">
        <v>4214</v>
      </c>
      <c r="D763" s="26"/>
      <c r="E763" s="26"/>
    </row>
    <row r="764" spans="1:5" s="16" customFormat="1" ht="12.95" customHeight="1">
      <c r="A764" s="26" t="s">
        <v>336</v>
      </c>
      <c r="B764" s="26"/>
      <c r="C764" s="26" t="s">
        <v>4215</v>
      </c>
      <c r="D764" s="26"/>
      <c r="E764" s="26"/>
    </row>
    <row r="765" spans="1:5" s="16" customFormat="1" ht="12.95" customHeight="1">
      <c r="A765" s="26" t="s">
        <v>4216</v>
      </c>
      <c r="B765" s="26"/>
      <c r="C765" s="26" t="s">
        <v>4217</v>
      </c>
      <c r="D765" s="26"/>
      <c r="E765" s="26"/>
    </row>
    <row r="766" spans="1:5" s="16" customFormat="1" ht="12.95" customHeight="1">
      <c r="A766" s="26" t="s">
        <v>558</v>
      </c>
      <c r="B766" s="26"/>
      <c r="C766" s="26" t="s">
        <v>4088</v>
      </c>
      <c r="D766" s="26"/>
      <c r="E766" s="26"/>
    </row>
    <row r="767" spans="1:5" s="16" customFormat="1" ht="12.95" customHeight="1">
      <c r="A767" s="26" t="s">
        <v>4218</v>
      </c>
      <c r="B767" s="26"/>
      <c r="C767" s="26" t="s">
        <v>4219</v>
      </c>
      <c r="D767" s="26"/>
      <c r="E767" s="26"/>
    </row>
    <row r="768" spans="1:5" s="16" customFormat="1" ht="12.95" customHeight="1">
      <c r="A768" s="26" t="s">
        <v>4220</v>
      </c>
      <c r="B768" s="26"/>
      <c r="C768" s="26" t="s">
        <v>4221</v>
      </c>
      <c r="D768" s="26"/>
      <c r="E768" s="26"/>
    </row>
    <row r="769" spans="1:5" s="16" customFormat="1" ht="12.95" customHeight="1">
      <c r="A769" s="26" t="s">
        <v>4222</v>
      </c>
      <c r="B769" s="26"/>
      <c r="C769" s="26" t="s">
        <v>4223</v>
      </c>
      <c r="D769" s="26"/>
      <c r="E769" s="26"/>
    </row>
    <row r="770" spans="1:5" s="16" customFormat="1" ht="12.95" customHeight="1">
      <c r="A770" s="26" t="s">
        <v>4224</v>
      </c>
      <c r="B770" s="26"/>
      <c r="C770" s="26" t="s">
        <v>4225</v>
      </c>
      <c r="D770" s="26"/>
      <c r="E770" s="26"/>
    </row>
    <row r="771" spans="1:5" s="16" customFormat="1" ht="12.95" customHeight="1">
      <c r="A771" s="26" t="s">
        <v>4226</v>
      </c>
      <c r="B771" s="26"/>
      <c r="C771" s="26" t="s">
        <v>4217</v>
      </c>
      <c r="D771" s="26"/>
      <c r="E771" s="26"/>
    </row>
    <row r="772" spans="1:5" s="16" customFormat="1" ht="12.95" customHeight="1">
      <c r="A772" s="26" t="s">
        <v>4227</v>
      </c>
      <c r="B772" s="26"/>
      <c r="C772" s="26" t="s">
        <v>4228</v>
      </c>
      <c r="D772" s="26"/>
      <c r="E772" s="26"/>
    </row>
    <row r="773" spans="1:5" s="16" customFormat="1" ht="12.95" customHeight="1">
      <c r="A773" s="26" t="s">
        <v>4229</v>
      </c>
      <c r="B773" s="26"/>
      <c r="C773" s="26" t="s">
        <v>4230</v>
      </c>
      <c r="D773" s="26"/>
      <c r="E773" s="26"/>
    </row>
    <row r="774" spans="1:5" s="16" customFormat="1" ht="12.95" customHeight="1">
      <c r="A774" s="26" t="s">
        <v>687</v>
      </c>
      <c r="B774" s="26"/>
      <c r="C774" s="26" t="s">
        <v>4088</v>
      </c>
      <c r="D774" s="26"/>
      <c r="E774" s="26"/>
    </row>
    <row r="775" spans="1:5" s="16" customFormat="1" ht="12.95" customHeight="1">
      <c r="A775" s="26" t="s">
        <v>1819</v>
      </c>
      <c r="B775" s="26"/>
      <c r="C775" s="26" t="s">
        <v>4219</v>
      </c>
      <c r="D775" s="26"/>
      <c r="E775" s="26"/>
    </row>
    <row r="776" spans="1:5" s="16" customFormat="1" ht="12.95" customHeight="1">
      <c r="A776" s="26" t="s">
        <v>4231</v>
      </c>
      <c r="B776" s="26"/>
      <c r="C776" s="26" t="s">
        <v>4221</v>
      </c>
      <c r="D776" s="26"/>
      <c r="E776" s="26"/>
    </row>
    <row r="777" spans="1:5" s="16" customFormat="1" ht="12.95" customHeight="1">
      <c r="A777" s="26" t="s">
        <v>4232</v>
      </c>
      <c r="B777" s="26"/>
      <c r="C777" s="26" t="s">
        <v>4223</v>
      </c>
      <c r="D777" s="26"/>
      <c r="E777" s="26"/>
    </row>
    <row r="778" spans="1:5" s="16" customFormat="1" ht="12.95" customHeight="1">
      <c r="A778" s="26" t="s">
        <v>4233</v>
      </c>
      <c r="B778" s="26"/>
      <c r="C778" s="26" t="s">
        <v>4225</v>
      </c>
      <c r="D778" s="26"/>
      <c r="E778" s="26"/>
    </row>
    <row r="779" spans="1:5" s="16" customFormat="1" ht="12.95" customHeight="1">
      <c r="A779" s="26" t="s">
        <v>4234</v>
      </c>
      <c r="B779" s="26"/>
      <c r="C779" s="26" t="s">
        <v>4217</v>
      </c>
      <c r="D779" s="26"/>
      <c r="E779" s="26"/>
    </row>
    <row r="780" spans="1:5" s="16" customFormat="1" ht="12.95" customHeight="1">
      <c r="A780" s="26" t="s">
        <v>4235</v>
      </c>
      <c r="B780" s="26"/>
      <c r="C780" s="26" t="s">
        <v>4228</v>
      </c>
      <c r="D780" s="26"/>
      <c r="E780" s="26"/>
    </row>
    <row r="781" spans="1:5" s="16" customFormat="1" ht="12.95" customHeight="1">
      <c r="A781" s="26" t="s">
        <v>426</v>
      </c>
      <c r="B781" s="26"/>
      <c r="C781" s="26" t="s">
        <v>4236</v>
      </c>
      <c r="D781" s="26"/>
      <c r="E781" s="26"/>
    </row>
    <row r="782" spans="1:5" s="16" customFormat="1" ht="12.95" customHeight="1">
      <c r="A782" s="26" t="s">
        <v>4237</v>
      </c>
      <c r="B782" s="26"/>
      <c r="C782" s="26" t="s">
        <v>4238</v>
      </c>
      <c r="D782" s="26"/>
      <c r="E782" s="26"/>
    </row>
    <row r="783" spans="1:5" s="16" customFormat="1" ht="12.95" customHeight="1">
      <c r="A783" s="26" t="s">
        <v>4239</v>
      </c>
      <c r="B783" s="26"/>
      <c r="C783" s="26" t="s">
        <v>4240</v>
      </c>
      <c r="D783" s="26"/>
      <c r="E783" s="26"/>
    </row>
    <row r="784" spans="1:5" s="16" customFormat="1" ht="12.95" customHeight="1">
      <c r="A784" s="26" t="s">
        <v>4241</v>
      </c>
      <c r="B784" s="26"/>
      <c r="C784" s="26" t="s">
        <v>4242</v>
      </c>
      <c r="D784" s="26"/>
      <c r="E784" s="26"/>
    </row>
    <row r="785" spans="1:5" s="16" customFormat="1" ht="12.95" customHeight="1">
      <c r="A785" s="26" t="s">
        <v>1065</v>
      </c>
      <c r="B785" s="26"/>
      <c r="C785" s="26" t="s">
        <v>4088</v>
      </c>
      <c r="D785" s="26"/>
      <c r="E785" s="26"/>
    </row>
    <row r="786" spans="1:5" s="16" customFormat="1" ht="12.95" customHeight="1">
      <c r="A786" s="26" t="s">
        <v>4243</v>
      </c>
      <c r="B786" s="26"/>
      <c r="C786" s="26" t="s">
        <v>4240</v>
      </c>
      <c r="D786" s="26"/>
      <c r="E786" s="26"/>
    </row>
    <row r="787" spans="1:5" s="16" customFormat="1" ht="12.95" customHeight="1">
      <c r="A787" s="26" t="s">
        <v>4244</v>
      </c>
      <c r="B787" s="26"/>
      <c r="C787" s="26" t="s">
        <v>4245</v>
      </c>
      <c r="D787" s="26"/>
      <c r="E787" s="26"/>
    </row>
    <row r="788" spans="1:5" s="16" customFormat="1" ht="12.95" customHeight="1">
      <c r="A788" s="26" t="s">
        <v>4246</v>
      </c>
      <c r="B788" s="26"/>
      <c r="C788" s="26" t="s">
        <v>4247</v>
      </c>
      <c r="D788" s="26"/>
      <c r="E788" s="26"/>
    </row>
    <row r="789" spans="1:5" s="16" customFormat="1" ht="12.95" customHeight="1">
      <c r="A789" s="26" t="s">
        <v>2171</v>
      </c>
      <c r="B789" s="26"/>
      <c r="C789" s="26" t="s">
        <v>4248</v>
      </c>
      <c r="D789" s="26"/>
      <c r="E789" s="26"/>
    </row>
    <row r="790" spans="1:5" s="16" customFormat="1" ht="12.95" customHeight="1">
      <c r="A790" s="26" t="s">
        <v>461</v>
      </c>
      <c r="B790" s="26"/>
      <c r="C790" s="26" t="s">
        <v>4248</v>
      </c>
      <c r="D790" s="26"/>
      <c r="E790" s="26"/>
    </row>
    <row r="791" spans="1:5" s="16" customFormat="1" ht="12.95" customHeight="1">
      <c r="A791" s="26" t="s">
        <v>2666</v>
      </c>
      <c r="B791" s="26"/>
      <c r="C791" s="26" t="s">
        <v>4248</v>
      </c>
      <c r="D791" s="26"/>
      <c r="E791" s="26"/>
    </row>
    <row r="792" spans="1:5" s="16" customFormat="1" ht="12.95" customHeight="1">
      <c r="A792" s="26" t="s">
        <v>4249</v>
      </c>
      <c r="B792" s="26"/>
      <c r="C792" s="26" t="s">
        <v>4250</v>
      </c>
      <c r="D792" s="26"/>
      <c r="E792" s="26"/>
    </row>
    <row r="793" spans="1:5" s="16" customFormat="1" ht="12.95" customHeight="1">
      <c r="A793" s="26" t="s">
        <v>4251</v>
      </c>
      <c r="B793" s="26"/>
      <c r="C793" s="26" t="s">
        <v>4247</v>
      </c>
      <c r="D793" s="26"/>
      <c r="E793" s="26"/>
    </row>
    <row r="794" spans="1:5" s="16" customFormat="1" ht="12.95" customHeight="1">
      <c r="A794" s="26" t="s">
        <v>4252</v>
      </c>
      <c r="B794" s="26"/>
      <c r="C794" s="26" t="s">
        <v>4253</v>
      </c>
      <c r="D794" s="26"/>
      <c r="E794" s="26"/>
    </row>
    <row r="795" spans="1:5" s="16" customFormat="1" ht="12.95" customHeight="1">
      <c r="A795" s="26" t="s">
        <v>4254</v>
      </c>
      <c r="B795" s="26"/>
      <c r="C795" s="26" t="s">
        <v>4255</v>
      </c>
      <c r="D795" s="26"/>
      <c r="E795" s="26"/>
    </row>
    <row r="796" spans="1:5" s="16" customFormat="1" ht="12.95" customHeight="1">
      <c r="A796" s="26" t="s">
        <v>4256</v>
      </c>
      <c r="B796" s="26"/>
      <c r="C796" s="26" t="s">
        <v>4248</v>
      </c>
      <c r="D796" s="26"/>
      <c r="E796" s="26"/>
    </row>
    <row r="797" spans="1:5" s="16" customFormat="1" ht="12.95" customHeight="1">
      <c r="A797" s="26" t="s">
        <v>4257</v>
      </c>
      <c r="B797" s="26"/>
      <c r="C797" s="26" t="s">
        <v>4258</v>
      </c>
      <c r="D797" s="26"/>
      <c r="E797" s="26"/>
    </row>
    <row r="798" spans="1:5" s="16" customFormat="1" ht="12.95" customHeight="1">
      <c r="A798" s="26" t="s">
        <v>4259</v>
      </c>
      <c r="B798" s="26"/>
      <c r="C798" s="26" t="s">
        <v>4260</v>
      </c>
      <c r="D798" s="26"/>
      <c r="E798" s="26"/>
    </row>
    <row r="799" spans="1:5" s="16" customFormat="1" ht="12.95" customHeight="1">
      <c r="A799" s="26" t="s">
        <v>4261</v>
      </c>
      <c r="B799" s="26"/>
      <c r="C799" s="26" t="s">
        <v>4262</v>
      </c>
      <c r="D799" s="26"/>
      <c r="E799" s="26"/>
    </row>
    <row r="800" spans="1:5" s="16" customFormat="1" ht="12.95" customHeight="1">
      <c r="A800" s="26" t="s">
        <v>4263</v>
      </c>
      <c r="B800" s="26"/>
      <c r="C800" s="26" t="s">
        <v>4260</v>
      </c>
      <c r="D800" s="26"/>
      <c r="E800" s="26"/>
    </row>
    <row r="801" spans="1:5" s="16" customFormat="1" ht="12.95" customHeight="1">
      <c r="A801" s="26" t="s">
        <v>4264</v>
      </c>
      <c r="B801" s="26"/>
      <c r="C801" s="26" t="s">
        <v>4265</v>
      </c>
      <c r="D801" s="26"/>
      <c r="E801" s="26"/>
    </row>
    <row r="802" spans="1:5" s="16" customFormat="1" ht="12.95" customHeight="1">
      <c r="A802" s="26" t="s">
        <v>4266</v>
      </c>
      <c r="B802" s="26"/>
      <c r="C802" s="26" t="s">
        <v>4267</v>
      </c>
      <c r="D802" s="26"/>
      <c r="E802" s="26"/>
    </row>
    <row r="803" spans="1:5" s="16" customFormat="1" ht="12.95" customHeight="1">
      <c r="A803" s="26" t="s">
        <v>4268</v>
      </c>
      <c r="B803" s="26"/>
      <c r="C803" s="26" t="s">
        <v>4269</v>
      </c>
      <c r="D803" s="26"/>
      <c r="E803" s="26"/>
    </row>
    <row r="804" spans="1:5" s="16" customFormat="1" ht="12.95" customHeight="1">
      <c r="A804" s="26" t="s">
        <v>4270</v>
      </c>
      <c r="B804" s="26"/>
      <c r="C804" s="26" t="s">
        <v>4271</v>
      </c>
      <c r="D804" s="26"/>
      <c r="E804" s="26"/>
    </row>
    <row r="805" spans="1:5" s="16" customFormat="1" ht="12.95" customHeight="1">
      <c r="A805" s="26" t="s">
        <v>4272</v>
      </c>
      <c r="B805" s="26"/>
      <c r="C805" s="26" t="s">
        <v>4273</v>
      </c>
      <c r="D805" s="26"/>
      <c r="E805" s="26"/>
    </row>
    <row r="806" spans="1:5" s="16" customFormat="1" ht="12.95" customHeight="1">
      <c r="A806" s="26" t="s">
        <v>4274</v>
      </c>
      <c r="B806" s="26"/>
      <c r="C806" s="26" t="s">
        <v>4275</v>
      </c>
      <c r="D806" s="26"/>
      <c r="E806" s="26"/>
    </row>
    <row r="807" spans="1:5" s="16" customFormat="1" ht="12.95" customHeight="1">
      <c r="A807" s="26" t="s">
        <v>4276</v>
      </c>
      <c r="B807" s="26"/>
      <c r="C807" s="26" t="s">
        <v>4277</v>
      </c>
      <c r="D807" s="26"/>
      <c r="E807" s="26"/>
    </row>
    <row r="808" spans="1:5" s="16" customFormat="1" ht="12.95" customHeight="1">
      <c r="A808" s="26" t="s">
        <v>4278</v>
      </c>
      <c r="B808" s="26"/>
      <c r="C808" s="26" t="s">
        <v>4279</v>
      </c>
      <c r="D808" s="26"/>
      <c r="E808" s="26"/>
    </row>
    <row r="809" spans="1:5" s="16" customFormat="1" ht="12.95" customHeight="1">
      <c r="A809" s="26" t="s">
        <v>4280</v>
      </c>
      <c r="B809" s="26"/>
      <c r="C809" s="26" t="s">
        <v>4281</v>
      </c>
      <c r="D809" s="26"/>
      <c r="E809" s="26"/>
    </row>
    <row r="810" spans="1:5" s="16" customFormat="1" ht="12.95" customHeight="1">
      <c r="A810" s="26" t="s">
        <v>4282</v>
      </c>
      <c r="B810" s="26"/>
      <c r="C810" s="26" t="s">
        <v>4279</v>
      </c>
      <c r="D810" s="26"/>
      <c r="E810" s="26"/>
    </row>
    <row r="811" spans="1:5" s="16" customFormat="1" ht="12.95" customHeight="1">
      <c r="A811" s="26" t="s">
        <v>4283</v>
      </c>
      <c r="B811" s="26"/>
      <c r="C811" s="26" t="s">
        <v>4284</v>
      </c>
      <c r="D811" s="26"/>
      <c r="E811" s="26"/>
    </row>
    <row r="812" spans="1:5" s="16" customFormat="1" ht="12.95" customHeight="1">
      <c r="A812" s="26" t="s">
        <v>4283</v>
      </c>
      <c r="B812" s="26"/>
      <c r="C812" s="26" t="s">
        <v>4284</v>
      </c>
      <c r="D812" s="26"/>
      <c r="E812" s="26"/>
    </row>
    <row r="813" spans="1:5" s="16" customFormat="1" ht="12.95" customHeight="1">
      <c r="A813" s="26" t="s">
        <v>4285</v>
      </c>
      <c r="B813" s="26"/>
      <c r="C813" s="26" t="s">
        <v>4286</v>
      </c>
      <c r="D813" s="26"/>
      <c r="E813" s="26"/>
    </row>
    <row r="814" spans="1:5" s="16" customFormat="1" ht="12.95" customHeight="1">
      <c r="A814" s="26" t="s">
        <v>4287</v>
      </c>
      <c r="B814" s="26"/>
      <c r="C814" s="26" t="s">
        <v>4288</v>
      </c>
      <c r="D814" s="26"/>
      <c r="E814" s="26"/>
    </row>
    <row r="815" spans="1:5" s="16" customFormat="1" ht="12.95" customHeight="1">
      <c r="A815" s="26" t="s">
        <v>4289</v>
      </c>
      <c r="B815" s="26"/>
      <c r="C815" s="26" t="s">
        <v>4290</v>
      </c>
      <c r="D815" s="26"/>
      <c r="E815" s="26"/>
    </row>
    <row r="816" spans="1:5" s="16" customFormat="1" ht="12.95" customHeight="1">
      <c r="A816" s="26" t="s">
        <v>4291</v>
      </c>
      <c r="B816" s="26"/>
      <c r="C816" s="26" t="s">
        <v>4292</v>
      </c>
      <c r="D816" s="26"/>
      <c r="E816" s="26"/>
    </row>
    <row r="817" spans="1:5" s="16" customFormat="1" ht="12.95" customHeight="1">
      <c r="A817" s="26" t="s">
        <v>4293</v>
      </c>
      <c r="B817" s="26"/>
      <c r="C817" s="26" t="s">
        <v>4294</v>
      </c>
      <c r="D817" s="26"/>
      <c r="E817" s="26"/>
    </row>
    <row r="818" spans="1:5" s="16" customFormat="1" ht="12.95" customHeight="1">
      <c r="A818" s="26" t="s">
        <v>4295</v>
      </c>
      <c r="B818" s="26"/>
      <c r="C818" s="26" t="s">
        <v>4296</v>
      </c>
      <c r="D818" s="26"/>
      <c r="E818" s="26"/>
    </row>
    <row r="819" spans="1:5" s="16" customFormat="1" ht="12.95" customHeight="1">
      <c r="A819" s="26" t="s">
        <v>4297</v>
      </c>
      <c r="B819" s="26"/>
      <c r="C819" s="26" t="s">
        <v>4298</v>
      </c>
      <c r="D819" s="26"/>
      <c r="E819" s="26"/>
    </row>
    <row r="820" spans="1:5" s="16" customFormat="1" ht="12.95" customHeight="1">
      <c r="A820" s="26" t="s">
        <v>4299</v>
      </c>
      <c r="B820" s="26"/>
      <c r="C820" s="26" t="s">
        <v>4298</v>
      </c>
      <c r="D820" s="26"/>
      <c r="E820" s="26"/>
    </row>
    <row r="821" spans="1:5" s="16" customFormat="1" ht="12.95" customHeight="1">
      <c r="A821" s="26" t="s">
        <v>4300</v>
      </c>
      <c r="B821" s="26"/>
      <c r="C821" s="26" t="s">
        <v>4301</v>
      </c>
      <c r="D821" s="26"/>
      <c r="E821" s="26"/>
    </row>
    <row r="822" spans="1:5" s="16" customFormat="1" ht="12.95" customHeight="1">
      <c r="A822" s="26" t="s">
        <v>4302</v>
      </c>
      <c r="B822" s="26"/>
      <c r="C822" s="26" t="s">
        <v>4303</v>
      </c>
      <c r="D822" s="26"/>
      <c r="E822" s="26"/>
    </row>
    <row r="823" spans="1:5" s="16" customFormat="1" ht="12.95" customHeight="1">
      <c r="A823" s="26" t="s">
        <v>4304</v>
      </c>
      <c r="B823" s="26"/>
      <c r="C823" s="26" t="s">
        <v>4305</v>
      </c>
      <c r="D823" s="26"/>
      <c r="E823" s="26"/>
    </row>
  </sheetData>
  <mergeCells count="273">
    <mergeCell ref="A822:B822"/>
    <mergeCell ref="C822:E822"/>
    <mergeCell ref="A823:B823"/>
    <mergeCell ref="C823:E823"/>
    <mergeCell ref="A817:B817"/>
    <mergeCell ref="C817:E817"/>
    <mergeCell ref="A818:B818"/>
    <mergeCell ref="C818:E818"/>
    <mergeCell ref="A819:B819"/>
    <mergeCell ref="C819:E819"/>
    <mergeCell ref="A820:B820"/>
    <mergeCell ref="C820:E820"/>
    <mergeCell ref="A821:B821"/>
    <mergeCell ref="C821:E82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811:B811"/>
    <mergeCell ref="C811:E81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82:B782"/>
    <mergeCell ref="C782:E782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72:B772"/>
    <mergeCell ref="C772:E772"/>
    <mergeCell ref="A773:B773"/>
    <mergeCell ref="C773:E773"/>
    <mergeCell ref="A774:B774"/>
    <mergeCell ref="C774:E774"/>
    <mergeCell ref="A775:B775"/>
    <mergeCell ref="C775:E775"/>
    <mergeCell ref="A776:B776"/>
    <mergeCell ref="C776:E77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66:B766"/>
    <mergeCell ref="C766:E76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37:B737"/>
    <mergeCell ref="C737:E737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1:E1"/>
    <mergeCell ref="F1:I5"/>
    <mergeCell ref="J1:O1"/>
    <mergeCell ref="A2:E2"/>
    <mergeCell ref="J2:O5"/>
    <mergeCell ref="A3:E3"/>
    <mergeCell ref="A4:E4"/>
    <mergeCell ref="A5:E5"/>
    <mergeCell ref="A690:B69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2024-05-08T20:33:21Z</dcterms:modified>
</cp:coreProperties>
</file>